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"/>
    </mc:Choice>
  </mc:AlternateContent>
  <xr:revisionPtr revIDLastSave="0" documentId="13_ncr:1_{8FB97A25-FD84-4517-8860-1359E6F24A2C}" xr6:coauthVersionLast="47" xr6:coauthVersionMax="47" xr10:uidLastSave="{00000000-0000-0000-0000-000000000000}"/>
  <bookViews>
    <workbookView xWindow="-120" yWindow="-120" windowWidth="29040" windowHeight="15720" xr2:uid="{154BBAC1-B773-4CBF-97A2-0D3C1BE39B36}"/>
  </bookViews>
  <sheets>
    <sheet name="Scoresheet" sheetId="1" r:id="rId1"/>
    <sheet name="Players" sheetId="2" r:id="rId2"/>
    <sheet name="Course &amp; Tourney" sheetId="3" r:id="rId3"/>
    <sheet name="Results" sheetId="4" r:id="rId4"/>
  </sheets>
  <definedNames>
    <definedName name="EntryFees">Players!$F$2:$F$12</definedName>
    <definedName name="Handicap_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Tourney'!$B$14</definedName>
    <definedName name="Max_Handicap">'Course &amp; Tourney'!$B$11</definedName>
    <definedName name="MensTees">'Course &amp; Tourney'!$B$2:$E$5</definedName>
    <definedName name="PlacePayouts">'Course &amp; Tourney'!$A$16:$B$29</definedName>
    <definedName name="PlayerGender">Players!$D$2:$D$12</definedName>
    <definedName name="PlayerHandicaps">Players!$B$2:$B$12</definedName>
    <definedName name="PlayerNames">Players!$A$2:$A$12</definedName>
    <definedName name="PlayerPlayerNo">Players!$C$2:$C$12</definedName>
    <definedName name="PlayersTees">Players!$C$2:$C$12</definedName>
    <definedName name="PlayerTees">Players!$E$2:$E$12</definedName>
    <definedName name="_xlnm.Print_Area" localSheetId="1">Players!$A$1:$F$12</definedName>
    <definedName name="_xlnm.Print_Area" localSheetId="3">Results!$A$1:$E$12</definedName>
    <definedName name="_xlnm.Print_Area" localSheetId="0">Scoresheet!$A$1:$V$62</definedName>
    <definedName name="Stableford_Points">'Course &amp; Tourney'!$L$3:$M$16</definedName>
    <definedName name="WomensTees">'Course &amp; Tourney'!$B$6:$E$9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1" i="1" l="1"/>
  <c r="F47" i="1" a="1"/>
  <c r="F47" i="1" s="1"/>
  <c r="I42" i="1" a="1"/>
  <c r="I42" i="1" s="1"/>
  <c r="A10" i="1" a="1"/>
  <c r="A10" i="1" s="1"/>
  <c r="A19" i="1"/>
  <c r="A9" i="1"/>
  <c r="C10" i="1" s="1" a="1"/>
  <c r="C10" i="1" s="1"/>
  <c r="A14" i="1"/>
  <c r="E17" i="1" s="1" a="1"/>
  <c r="E17" i="1" s="1"/>
  <c r="O37" i="1" a="1"/>
  <c r="O37" i="1" s="1"/>
  <c r="O52" i="1" a="1"/>
  <c r="O52" i="1" s="1"/>
  <c r="O47" i="1" a="1"/>
  <c r="O47" i="1" s="1"/>
  <c r="O42" i="1" a="1"/>
  <c r="O42" i="1" s="1"/>
  <c r="T62" i="1" a="1"/>
  <c r="T62" i="1" s="1"/>
  <c r="S62" i="1" a="1"/>
  <c r="S62" i="1" s="1"/>
  <c r="R62" i="1" a="1"/>
  <c r="R62" i="1" s="1"/>
  <c r="Q62" i="1" a="1"/>
  <c r="Q62" i="1" s="1"/>
  <c r="P62" i="1" a="1"/>
  <c r="P62" i="1" s="1"/>
  <c r="O62" i="1" a="1"/>
  <c r="O62" i="1" s="1"/>
  <c r="N62" i="1" a="1"/>
  <c r="N62" i="1" s="1"/>
  <c r="M62" i="1" a="1"/>
  <c r="M62" i="1" s="1"/>
  <c r="L62" i="1" a="1"/>
  <c r="L62" i="1" s="1"/>
  <c r="K62" i="1" a="1"/>
  <c r="K62" i="1" s="1"/>
  <c r="J62" i="1" a="1"/>
  <c r="J62" i="1" s="1"/>
  <c r="I62" i="1" a="1"/>
  <c r="I62" i="1" s="1"/>
  <c r="H62" i="1" a="1"/>
  <c r="H62" i="1" s="1"/>
  <c r="G62" i="1" a="1"/>
  <c r="G62" i="1" s="1"/>
  <c r="F62" i="1" a="1"/>
  <c r="F62" i="1" s="1"/>
  <c r="E62" i="1" a="1"/>
  <c r="E62" i="1" s="1"/>
  <c r="D62" i="1" a="1"/>
  <c r="D62" i="1" s="1"/>
  <c r="C62" i="1" a="1"/>
  <c r="C62" i="1"/>
  <c r="C60" i="1" a="1"/>
  <c r="C60" i="1" s="1"/>
  <c r="B60" i="1" a="1"/>
  <c r="B60" i="1" s="1"/>
  <c r="A60" i="1" a="1"/>
  <c r="A60" i="1" s="1"/>
  <c r="U56" i="1"/>
  <c r="U51" i="1"/>
  <c r="U46" i="1"/>
  <c r="U41" i="1"/>
  <c r="U36" i="1"/>
  <c r="U31" i="1"/>
  <c r="U26" i="1"/>
  <c r="U21" i="1"/>
  <c r="T57" i="1" a="1"/>
  <c r="T57" i="1" s="1"/>
  <c r="S57" i="1" a="1"/>
  <c r="S57" i="1" s="1"/>
  <c r="R57" i="1" a="1"/>
  <c r="R57" i="1" s="1"/>
  <c r="Q57" i="1" a="1"/>
  <c r="Q57" i="1" s="1"/>
  <c r="P57" i="1" a="1"/>
  <c r="P57" i="1" s="1"/>
  <c r="O57" i="1" a="1"/>
  <c r="O57" i="1" s="1"/>
  <c r="N57" i="1" a="1"/>
  <c r="N57" i="1" s="1"/>
  <c r="M57" i="1" a="1"/>
  <c r="M57" i="1" s="1"/>
  <c r="L57" i="1" a="1"/>
  <c r="L57" i="1"/>
  <c r="K57" i="1" a="1"/>
  <c r="K57" i="1" s="1"/>
  <c r="J57" i="1" a="1"/>
  <c r="J57" i="1" s="1"/>
  <c r="I57" i="1" a="1"/>
  <c r="I57" i="1" s="1"/>
  <c r="H57" i="1" a="1"/>
  <c r="H57" i="1" s="1"/>
  <c r="G57" i="1" a="1"/>
  <c r="G57" i="1" s="1"/>
  <c r="F57" i="1" a="1"/>
  <c r="F57" i="1" s="1"/>
  <c r="E57" i="1" a="1"/>
  <c r="E57" i="1" s="1"/>
  <c r="D57" i="1" a="1"/>
  <c r="D57" i="1" s="1"/>
  <c r="C57" i="1" a="1"/>
  <c r="C57" i="1" s="1"/>
  <c r="C55" i="1" a="1"/>
  <c r="C55" i="1" s="1"/>
  <c r="B55" i="1" a="1"/>
  <c r="B55" i="1" s="1"/>
  <c r="A55" i="1" a="1"/>
  <c r="A55" i="1" s="1"/>
  <c r="T52" i="1" a="1"/>
  <c r="T52" i="1" s="1"/>
  <c r="S52" i="1" a="1"/>
  <c r="S52" i="1" s="1"/>
  <c r="R52" i="1" a="1"/>
  <c r="R52" i="1" s="1"/>
  <c r="Q52" i="1" a="1"/>
  <c r="Q52" i="1" s="1"/>
  <c r="P52" i="1" a="1"/>
  <c r="P52" i="1" s="1"/>
  <c r="N52" i="1" a="1"/>
  <c r="N52" i="1" s="1"/>
  <c r="M52" i="1" a="1"/>
  <c r="M52" i="1" s="1"/>
  <c r="L52" i="1" a="1"/>
  <c r="L52" i="1" s="1"/>
  <c r="K52" i="1" a="1"/>
  <c r="K52" i="1" s="1"/>
  <c r="J52" i="1" a="1"/>
  <c r="J52" i="1" s="1"/>
  <c r="I52" i="1" a="1"/>
  <c r="I52" i="1" s="1"/>
  <c r="H52" i="1" a="1"/>
  <c r="H52" i="1" s="1"/>
  <c r="G52" i="1" a="1"/>
  <c r="G52" i="1" s="1"/>
  <c r="F52" i="1" a="1"/>
  <c r="F52" i="1" s="1"/>
  <c r="E52" i="1" a="1"/>
  <c r="E52" i="1" s="1"/>
  <c r="D52" i="1" a="1"/>
  <c r="D52" i="1" s="1"/>
  <c r="C52" i="1" a="1"/>
  <c r="C52" i="1" s="1"/>
  <c r="C50" i="1" a="1"/>
  <c r="C50" i="1" s="1"/>
  <c r="B50" i="1" a="1"/>
  <c r="B50" i="1" s="1"/>
  <c r="A50" i="1" a="1"/>
  <c r="A50" i="1" s="1"/>
  <c r="T47" i="1" a="1"/>
  <c r="T47" i="1" s="1"/>
  <c r="S47" i="1" a="1"/>
  <c r="S47" i="1" s="1"/>
  <c r="R47" i="1" a="1"/>
  <c r="R47" i="1" s="1"/>
  <c r="Q47" i="1" a="1"/>
  <c r="Q47" i="1" s="1"/>
  <c r="P47" i="1" a="1"/>
  <c r="P47" i="1" s="1"/>
  <c r="N47" i="1" a="1"/>
  <c r="N47" i="1" s="1"/>
  <c r="M47" i="1" a="1"/>
  <c r="M47" i="1" s="1"/>
  <c r="L47" i="1" a="1"/>
  <c r="L47" i="1" s="1"/>
  <c r="K47" i="1" a="1"/>
  <c r="K47" i="1" s="1"/>
  <c r="J47" i="1" a="1"/>
  <c r="J47" i="1" s="1"/>
  <c r="I47" i="1" a="1"/>
  <c r="I47" i="1" s="1"/>
  <c r="H47" i="1" a="1"/>
  <c r="H47" i="1" s="1"/>
  <c r="G47" i="1" a="1"/>
  <c r="G47" i="1" s="1"/>
  <c r="E47" i="1" a="1"/>
  <c r="E47" i="1" s="1"/>
  <c r="D47" i="1" a="1"/>
  <c r="D47" i="1" s="1"/>
  <c r="C47" i="1" a="1"/>
  <c r="C47" i="1" s="1"/>
  <c r="C45" i="1" a="1"/>
  <c r="C45" i="1" s="1"/>
  <c r="B45" i="1" a="1"/>
  <c r="B45" i="1" s="1"/>
  <c r="A45" i="1" a="1"/>
  <c r="A45" i="1" s="1"/>
  <c r="T42" i="1" a="1"/>
  <c r="T42" i="1"/>
  <c r="S42" i="1" a="1"/>
  <c r="S42" i="1" s="1"/>
  <c r="R42" i="1" a="1"/>
  <c r="R42" i="1" s="1"/>
  <c r="Q42" i="1" a="1"/>
  <c r="Q42" i="1" s="1"/>
  <c r="P42" i="1" a="1"/>
  <c r="P42" i="1" s="1"/>
  <c r="N42" i="1" a="1"/>
  <c r="N42" i="1"/>
  <c r="M42" i="1" a="1"/>
  <c r="M42" i="1" s="1"/>
  <c r="L42" i="1" a="1"/>
  <c r="L42" i="1" s="1"/>
  <c r="K42" i="1" a="1"/>
  <c r="K42" i="1" s="1"/>
  <c r="J42" i="1" a="1"/>
  <c r="J42" i="1" s="1"/>
  <c r="H42" i="1" a="1"/>
  <c r="H42" i="1" s="1"/>
  <c r="G42" i="1" a="1"/>
  <c r="G42" i="1"/>
  <c r="F42" i="1" a="1"/>
  <c r="F42" i="1" s="1"/>
  <c r="E42" i="1" a="1"/>
  <c r="E42" i="1" s="1"/>
  <c r="D42" i="1" a="1"/>
  <c r="D42" i="1" s="1"/>
  <c r="C42" i="1" a="1"/>
  <c r="C42" i="1" s="1"/>
  <c r="C40" i="1" a="1"/>
  <c r="C40" i="1" s="1"/>
  <c r="B40" i="1" a="1"/>
  <c r="B40" i="1" s="1"/>
  <c r="A40" i="1" a="1"/>
  <c r="A40" i="1" s="1"/>
  <c r="R17" i="1" a="1"/>
  <c r="R17" i="1" s="1"/>
  <c r="Q17" i="1" a="1"/>
  <c r="Q17" i="1" s="1"/>
  <c r="H17" i="1" a="1"/>
  <c r="H17" i="1" s="1"/>
  <c r="G17" i="1" a="1"/>
  <c r="G17" i="1" s="1"/>
  <c r="U16" i="1"/>
  <c r="T32" i="1" a="1"/>
  <c r="T32" i="1" s="1"/>
  <c r="S32" i="1" a="1"/>
  <c r="S32" i="1" s="1"/>
  <c r="R32" i="1" a="1"/>
  <c r="R32" i="1" s="1"/>
  <c r="Q32" i="1" a="1"/>
  <c r="Q32" i="1" s="1"/>
  <c r="P32" i="1" a="1"/>
  <c r="P32" i="1" s="1"/>
  <c r="O32" i="1" a="1"/>
  <c r="O32" i="1" s="1"/>
  <c r="N32" i="1" a="1"/>
  <c r="N32" i="1" s="1"/>
  <c r="M32" i="1" a="1"/>
  <c r="M32" i="1" s="1"/>
  <c r="L32" i="1" a="1"/>
  <c r="L32" i="1"/>
  <c r="K32" i="1" a="1"/>
  <c r="K32" i="1" s="1"/>
  <c r="J32" i="1" a="1"/>
  <c r="J32" i="1" s="1"/>
  <c r="I32" i="1" a="1"/>
  <c r="I32" i="1" s="1"/>
  <c r="H32" i="1" a="1"/>
  <c r="H32" i="1" s="1"/>
  <c r="G32" i="1" a="1"/>
  <c r="G32" i="1" s="1"/>
  <c r="F32" i="1" a="1"/>
  <c r="F32" i="1" s="1"/>
  <c r="E32" i="1" a="1"/>
  <c r="E32" i="1" s="1"/>
  <c r="D32" i="1" a="1"/>
  <c r="D32" i="1" s="1"/>
  <c r="C32" i="1" a="1"/>
  <c r="C32" i="1" s="1"/>
  <c r="C37" i="1" a="1"/>
  <c r="C37" i="1" s="1"/>
  <c r="D37" i="1" a="1"/>
  <c r="D37" i="1" s="1"/>
  <c r="E37" i="1" a="1"/>
  <c r="E37" i="1" s="1"/>
  <c r="F37" i="1" a="1"/>
  <c r="F37" i="1" s="1"/>
  <c r="G37" i="1" a="1"/>
  <c r="G37" i="1" s="1"/>
  <c r="H37" i="1" a="1"/>
  <c r="H37" i="1" s="1"/>
  <c r="I37" i="1" a="1"/>
  <c r="I37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C27" i="1" a="1"/>
  <c r="C27" i="1" s="1"/>
  <c r="D27" i="1" a="1"/>
  <c r="D27" i="1" s="1"/>
  <c r="E27" i="1" a="1"/>
  <c r="E27" i="1" s="1"/>
  <c r="F27" i="1" a="1"/>
  <c r="F27" i="1" s="1"/>
  <c r="G27" i="1" a="1"/>
  <c r="G27" i="1" s="1"/>
  <c r="H27" i="1" a="1"/>
  <c r="H27" i="1" s="1"/>
  <c r="I27" i="1" a="1"/>
  <c r="I27" i="1" s="1"/>
  <c r="J27" i="1" a="1"/>
  <c r="J27" i="1"/>
  <c r="K27" i="1" a="1"/>
  <c r="K27" i="1" s="1"/>
  <c r="L27" i="1" a="1"/>
  <c r="L27" i="1" s="1"/>
  <c r="M27" i="1" a="1"/>
  <c r="M27" i="1" s="1"/>
  <c r="N27" i="1" a="1"/>
  <c r="N27" i="1" s="1"/>
  <c r="O27" i="1" a="1"/>
  <c r="O27" i="1" s="1"/>
  <c r="P27" i="1" a="1"/>
  <c r="P27" i="1" s="1"/>
  <c r="Q27" i="1" a="1"/>
  <c r="Q27" i="1" s="1"/>
  <c r="R27" i="1" a="1"/>
  <c r="R27" i="1" s="1"/>
  <c r="S27" i="1" a="1"/>
  <c r="S27" i="1" s="1"/>
  <c r="T27" i="1" a="1"/>
  <c r="T27" i="1" s="1"/>
  <c r="C22" i="1" a="1"/>
  <c r="C22" i="1" s="1"/>
  <c r="D22" i="1" a="1"/>
  <c r="D22" i="1" s="1"/>
  <c r="E22" i="1" a="1"/>
  <c r="E22" i="1" s="1"/>
  <c r="F22" i="1" a="1"/>
  <c r="F22" i="1" s="1"/>
  <c r="G22" i="1" a="1"/>
  <c r="G22" i="1" s="1"/>
  <c r="H22" i="1" a="1"/>
  <c r="H22" i="1" s="1"/>
  <c r="I22" i="1" a="1"/>
  <c r="I22" i="1" s="1"/>
  <c r="J22" i="1" a="1"/>
  <c r="J22" i="1" s="1"/>
  <c r="K22" i="1" a="1"/>
  <c r="K22" i="1" s="1"/>
  <c r="L22" i="1" a="1"/>
  <c r="L22" i="1" s="1"/>
  <c r="M22" i="1" a="1"/>
  <c r="M22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S22" i="1" a="1"/>
  <c r="S22" i="1" s="1"/>
  <c r="T22" i="1" a="1"/>
  <c r="T22" i="1" s="1"/>
  <c r="C35" i="1" a="1"/>
  <c r="C35" i="1" s="1"/>
  <c r="B35" i="1" a="1"/>
  <c r="B35" i="1"/>
  <c r="A35" i="1" a="1"/>
  <c r="A35" i="1" s="1"/>
  <c r="C30" i="1" a="1"/>
  <c r="C30" i="1" s="1"/>
  <c r="B30" i="1" a="1"/>
  <c r="B30" i="1" s="1"/>
  <c r="A30" i="1" a="1"/>
  <c r="A30" i="1" s="1"/>
  <c r="C25" i="1" a="1"/>
  <c r="C25" i="1" s="1"/>
  <c r="B25" i="1" a="1"/>
  <c r="B25" i="1" s="1"/>
  <c r="A25" i="1" a="1"/>
  <c r="A25" i="1" s="1"/>
  <c r="C20" i="1" a="1"/>
  <c r="C20" i="1" s="1"/>
  <c r="B20" i="1" a="1"/>
  <c r="B20" i="1" s="1"/>
  <c r="A20" i="1" a="1"/>
  <c r="A20" i="1" s="1"/>
  <c r="T12" i="1" a="1"/>
  <c r="T12" i="1" s="1"/>
  <c r="S12" i="1" a="1"/>
  <c r="S12" i="1" s="1"/>
  <c r="R12" i="1" a="1"/>
  <c r="R12" i="1" s="1"/>
  <c r="Q12" i="1" a="1"/>
  <c r="Q12" i="1" s="1"/>
  <c r="P12" i="1" a="1"/>
  <c r="P12" i="1" s="1"/>
  <c r="O12" i="1" a="1"/>
  <c r="O12" i="1" s="1"/>
  <c r="N12" i="1" a="1"/>
  <c r="N12" i="1" s="1"/>
  <c r="M12" i="1" a="1"/>
  <c r="M12" i="1" s="1"/>
  <c r="L12" i="1" a="1"/>
  <c r="L12" i="1" s="1"/>
  <c r="K12" i="1" a="1"/>
  <c r="K12" i="1" s="1"/>
  <c r="J12" i="1" a="1"/>
  <c r="J12" i="1" s="1"/>
  <c r="I12" i="1" a="1"/>
  <c r="I12" i="1" s="1"/>
  <c r="H12" i="1" a="1"/>
  <c r="H12" i="1" s="1"/>
  <c r="G12" i="1" a="1"/>
  <c r="G12" i="1" s="1"/>
  <c r="F12" i="1" a="1"/>
  <c r="F12" i="1" s="1"/>
  <c r="E12" i="1" a="1"/>
  <c r="E12" i="1" s="1"/>
  <c r="D12" i="1" a="1"/>
  <c r="D12" i="1" s="1"/>
  <c r="C12" i="1" a="1"/>
  <c r="C12" i="1" s="1"/>
  <c r="I21" i="3"/>
  <c r="T7" i="1" a="1"/>
  <c r="T7" i="1" s="1"/>
  <c r="S7" i="1" a="1"/>
  <c r="S7" i="1" s="1"/>
  <c r="R7" i="1" a="1"/>
  <c r="R7" i="1" s="1"/>
  <c r="Q7" i="1" a="1"/>
  <c r="Q7" i="1"/>
  <c r="P7" i="1" a="1"/>
  <c r="P7" i="1" s="1"/>
  <c r="O7" i="1" a="1"/>
  <c r="O7" i="1" s="1"/>
  <c r="N7" i="1" a="1"/>
  <c r="N7" i="1"/>
  <c r="M7" i="1" a="1"/>
  <c r="M7" i="1" s="1"/>
  <c r="L7" i="1" a="1"/>
  <c r="L7" i="1" s="1"/>
  <c r="K7" i="1" a="1"/>
  <c r="K7" i="1" s="1"/>
  <c r="J7" i="1" a="1"/>
  <c r="J7" i="1" s="1"/>
  <c r="I7" i="1" a="1"/>
  <c r="I7" i="1" s="1"/>
  <c r="H7" i="1" a="1"/>
  <c r="H7" i="1"/>
  <c r="G7" i="1" a="1"/>
  <c r="G7" i="1"/>
  <c r="F7" i="1" a="1"/>
  <c r="F7" i="1" s="1"/>
  <c r="E7" i="1" a="1"/>
  <c r="E7" i="1" s="1"/>
  <c r="D7" i="1" a="1"/>
  <c r="D7" i="1" s="1"/>
  <c r="C7" i="1" a="1"/>
  <c r="C7" i="1" s="1"/>
  <c r="T5" i="1" a="1"/>
  <c r="T5" i="1"/>
  <c r="S5" i="1" a="1"/>
  <c r="S5" i="1"/>
  <c r="R5" i="1" a="1"/>
  <c r="R5" i="1"/>
  <c r="Q5" i="1" a="1"/>
  <c r="Q5" i="1" s="1"/>
  <c r="P5" i="1" a="1"/>
  <c r="P5" i="1" s="1"/>
  <c r="O5" i="1" a="1"/>
  <c r="O5" i="1" s="1"/>
  <c r="N5" i="1" a="1"/>
  <c r="N5" i="1" s="1"/>
  <c r="M5" i="1" a="1"/>
  <c r="M5" i="1"/>
  <c r="L5" i="1" a="1"/>
  <c r="L5" i="1"/>
  <c r="H5" i="1" a="1"/>
  <c r="H5" i="1"/>
  <c r="G5" i="1" a="1"/>
  <c r="G5" i="1" s="1"/>
  <c r="D5" i="1" a="1"/>
  <c r="D5" i="1" s="1"/>
  <c r="T6" i="1" a="1"/>
  <c r="T6" i="1" s="1"/>
  <c r="S6" i="1" a="1"/>
  <c r="S6" i="1" s="1"/>
  <c r="R6" i="1" a="1"/>
  <c r="R6" i="1"/>
  <c r="Q6" i="1" a="1"/>
  <c r="Q6" i="1"/>
  <c r="P6" i="1" a="1"/>
  <c r="P6" i="1" s="1"/>
  <c r="O6" i="1" a="1"/>
  <c r="O6" i="1" s="1"/>
  <c r="N6" i="1" a="1"/>
  <c r="N6" i="1" s="1"/>
  <c r="M6" i="1" a="1"/>
  <c r="M6" i="1" s="1"/>
  <c r="L6" i="1" a="1"/>
  <c r="L6" i="1" s="1"/>
  <c r="K6" i="1" a="1"/>
  <c r="K6" i="1"/>
  <c r="J6" i="1" a="1"/>
  <c r="J6" i="1" s="1"/>
  <c r="I6" i="1" a="1"/>
  <c r="I6" i="1" s="1"/>
  <c r="H6" i="1" a="1"/>
  <c r="H6" i="1"/>
  <c r="G6" i="1" a="1"/>
  <c r="G6" i="1" s="1"/>
  <c r="F6" i="1" a="1"/>
  <c r="F6" i="1" s="1"/>
  <c r="E6" i="1" a="1"/>
  <c r="E6" i="1" s="1"/>
  <c r="D6" i="1" a="1"/>
  <c r="D6" i="1" s="1"/>
  <c r="C6" i="1" a="1"/>
  <c r="C6" i="1" s="1"/>
  <c r="T4" i="1" a="1"/>
  <c r="T4" i="1"/>
  <c r="S4" i="1" a="1"/>
  <c r="S4" i="1"/>
  <c r="R4" i="1" a="1"/>
  <c r="R4" i="1" s="1"/>
  <c r="Q4" i="1" a="1"/>
  <c r="Q4" i="1" s="1"/>
  <c r="P4" i="1" a="1"/>
  <c r="P4" i="1" s="1"/>
  <c r="O4" i="1" a="1"/>
  <c r="O4" i="1" s="1"/>
  <c r="N4" i="1" a="1"/>
  <c r="N4" i="1"/>
  <c r="M4" i="1" a="1"/>
  <c r="M4" i="1"/>
  <c r="L4" i="1" a="1"/>
  <c r="L4" i="1"/>
  <c r="K4" i="1" a="1"/>
  <c r="K4" i="1" s="1"/>
  <c r="J4" i="1" a="1"/>
  <c r="J4" i="1" s="1"/>
  <c r="I4" i="1" a="1"/>
  <c r="I4" i="1" s="1"/>
  <c r="H4" i="1" a="1"/>
  <c r="H4" i="1" s="1"/>
  <c r="G4" i="1" a="1"/>
  <c r="G4" i="1"/>
  <c r="F4" i="1" a="1"/>
  <c r="F4" i="1"/>
  <c r="E4" i="1" a="1"/>
  <c r="E4" i="1"/>
  <c r="D4" i="1" a="1"/>
  <c r="D4" i="1" s="1"/>
  <c r="C4" i="1" a="1"/>
  <c r="C4" i="1" s="1"/>
  <c r="U11" i="1"/>
  <c r="J21" i="3"/>
  <c r="H21" i="3"/>
  <c r="B14" i="3"/>
  <c r="F5" i="1" a="1"/>
  <c r="F5" i="1"/>
  <c r="I5" i="1" a="1"/>
  <c r="I5" i="1" s="1"/>
  <c r="J5" i="1" a="1"/>
  <c r="J5" i="1"/>
  <c r="K5" i="1" a="1"/>
  <c r="K5" i="1" s="1"/>
  <c r="E5" i="1" a="1"/>
  <c r="E5" i="1"/>
  <c r="C5" i="1" a="1"/>
  <c r="C5" i="1" s="1"/>
  <c r="G21" i="3"/>
  <c r="C13" i="4"/>
  <c r="E13" i="4" s="1"/>
  <c r="U4" i="1" l="1"/>
  <c r="A47" i="1"/>
  <c r="A46" i="1"/>
  <c r="U6" i="1"/>
  <c r="F17" i="1" a="1"/>
  <c r="F17" i="1" s="1"/>
  <c r="P17" i="1" a="1"/>
  <c r="P17" i="1" s="1"/>
  <c r="I17" i="1" a="1"/>
  <c r="I17" i="1" s="1"/>
  <c r="S17" i="1" a="1"/>
  <c r="S17" i="1" s="1"/>
  <c r="D35" i="1" a="1"/>
  <c r="D35" i="1" s="1"/>
  <c r="F35" i="1" s="1"/>
  <c r="A15" i="1" a="1"/>
  <c r="A15" i="1" s="1"/>
  <c r="A16" i="1" s="1"/>
  <c r="J17" i="1" a="1"/>
  <c r="J17" i="1" s="1"/>
  <c r="U17" i="1" s="1"/>
  <c r="B15" i="1" a="1"/>
  <c r="B15" i="1" s="1"/>
  <c r="K17" i="1" a="1"/>
  <c r="K17" i="1" s="1"/>
  <c r="T17" i="1" a="1"/>
  <c r="T17" i="1" s="1"/>
  <c r="C15" i="1" a="1"/>
  <c r="C15" i="1" s="1"/>
  <c r="L17" i="1" a="1"/>
  <c r="L17" i="1" s="1"/>
  <c r="D50" i="1" a="1"/>
  <c r="D50" i="1" s="1"/>
  <c r="B10" i="1" a="1"/>
  <c r="B10" i="1" s="1"/>
  <c r="D10" i="1" s="1" a="1"/>
  <c r="D10" i="1" s="1"/>
  <c r="E10" i="1" s="1"/>
  <c r="F10" i="1" s="1"/>
  <c r="M17" i="1" a="1"/>
  <c r="M17" i="1" s="1"/>
  <c r="C17" i="1" a="1"/>
  <c r="C17" i="1" s="1"/>
  <c r="N17" i="1" a="1"/>
  <c r="N17" i="1" s="1"/>
  <c r="D17" i="1" a="1"/>
  <c r="D17" i="1" s="1"/>
  <c r="O17" i="1" a="1"/>
  <c r="O17" i="1" s="1"/>
  <c r="D40" i="1" a="1"/>
  <c r="D40" i="1" s="1"/>
  <c r="F40" i="1" s="1"/>
  <c r="A62" i="1"/>
  <c r="A61" i="1"/>
  <c r="D55" i="1" a="1"/>
  <c r="D55" i="1" s="1"/>
  <c r="E55" i="1" s="1"/>
  <c r="D60" i="1" a="1"/>
  <c r="D60" i="1" s="1"/>
  <c r="F60" i="1" s="1"/>
  <c r="D30" i="1" a="1"/>
  <c r="D30" i="1" s="1"/>
  <c r="E30" i="1" s="1"/>
  <c r="D25" i="1" a="1"/>
  <c r="D25" i="1" s="1"/>
  <c r="E25" i="1" s="1"/>
  <c r="D13" i="4"/>
  <c r="D20" i="1" a="1"/>
  <c r="D20" i="1" s="1"/>
  <c r="E20" i="1" s="1"/>
  <c r="U42" i="1"/>
  <c r="D45" i="1" a="1"/>
  <c r="D45" i="1" s="1"/>
  <c r="F45" i="1" s="1"/>
  <c r="A32" i="1"/>
  <c r="A31" i="1"/>
  <c r="U57" i="1"/>
  <c r="A41" i="1"/>
  <c r="A42" i="1"/>
  <c r="U52" i="1"/>
  <c r="U62" i="1"/>
  <c r="U37" i="1"/>
  <c r="U32" i="1"/>
  <c r="U27" i="1"/>
  <c r="A37" i="1"/>
  <c r="A36" i="1"/>
  <c r="U22" i="1"/>
  <c r="A22" i="1"/>
  <c r="A21" i="1"/>
  <c r="A11" i="1"/>
  <c r="A12" i="1"/>
  <c r="A52" i="1"/>
  <c r="A51" i="1"/>
  <c r="E50" i="1"/>
  <c r="F50" i="1"/>
  <c r="A57" i="1"/>
  <c r="A56" i="1"/>
  <c r="U12" i="1"/>
  <c r="A27" i="1"/>
  <c r="A26" i="1"/>
  <c r="U47" i="1"/>
  <c r="V62" i="1" l="1"/>
  <c r="D15" i="1" a="1"/>
  <c r="D15" i="1" s="1"/>
  <c r="E15" i="1" s="1"/>
  <c r="F15" i="1" s="1"/>
  <c r="V17" i="1" s="1"/>
  <c r="A17" i="1"/>
  <c r="V42" i="1"/>
  <c r="E35" i="1"/>
  <c r="V12" i="1"/>
  <c r="F55" i="1"/>
  <c r="F30" i="1"/>
  <c r="V32" i="1" s="1"/>
  <c r="V47" i="1"/>
  <c r="E40" i="1"/>
  <c r="E45" i="1"/>
  <c r="F20" i="1"/>
  <c r="V22" i="1" s="1"/>
  <c r="V57" i="1"/>
  <c r="E60" i="1"/>
  <c r="F25" i="1"/>
  <c r="V27" i="1" s="1"/>
  <c r="V52" i="1"/>
  <c r="V37" i="1"/>
  <c r="A2" i="4" l="1" a="1"/>
  <c r="C3" i="4" s="1"/>
  <c r="C4" i="4" l="1"/>
  <c r="C9" i="4"/>
  <c r="C5" i="4"/>
  <c r="C2" i="4"/>
  <c r="E2" i="4" s="1"/>
  <c r="C11" i="4"/>
  <c r="C12" i="4"/>
  <c r="E12" i="4" s="1"/>
  <c r="C6" i="4"/>
  <c r="D9" i="4" s="1"/>
  <c r="C8" i="4"/>
  <c r="E8" i="4" s="1"/>
  <c r="C10" i="4"/>
  <c r="D10" i="4" s="1"/>
  <c r="A2" i="4"/>
  <c r="C7" i="4"/>
  <c r="E11" i="4" s="1"/>
  <c r="D12" i="4"/>
  <c r="D11" i="4" l="1"/>
  <c r="E5" i="4"/>
  <c r="E7" i="4"/>
  <c r="E4" i="4"/>
  <c r="D6" i="4"/>
  <c r="E6" i="4"/>
  <c r="E9" i="4"/>
  <c r="D2" i="4"/>
  <c r="D4" i="4"/>
  <c r="D7" i="4"/>
  <c r="D5" i="4"/>
  <c r="E3" i="4"/>
  <c r="E10" i="4"/>
  <c r="D8" i="4"/>
  <c r="D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<sst xmlns="http://schemas.openxmlformats.org/spreadsheetml/2006/main" count="147" uniqueCount="66">
  <si>
    <t>Index</t>
  </si>
  <si>
    <t>Hole</t>
  </si>
  <si>
    <t>John Allen</t>
  </si>
  <si>
    <t>Totals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</si>
  <si>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</si>
  <si>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</si>
  <si>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</si>
  <si>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</si>
  <si>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</si>
  <si>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</si>
  <si>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</si>
  <si>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</si>
  <si>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</si>
  <si>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</si>
  <si>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</si>
  <si>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</si>
  <si>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</si>
  <si>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</si>
  <si>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Payouts</t>
  </si>
  <si>
    <t>Kitty</t>
  </si>
  <si>
    <t>Place</t>
  </si>
  <si>
    <t>Amount</t>
  </si>
  <si>
    <t>Scott O'Hare</t>
  </si>
  <si>
    <t>Holes</t>
  </si>
  <si>
    <t>Handicap</t>
  </si>
  <si>
    <t>Par</t>
  </si>
  <si>
    <t>Men's</t>
  </si>
  <si>
    <t>Women's</t>
  </si>
  <si>
    <t>Total</t>
  </si>
  <si>
    <t>Travis Hubbard</t>
  </si>
  <si>
    <t>Curt Balcerzak</t>
  </si>
  <si>
    <t>Course HCP</t>
  </si>
  <si>
    <t>Stableford Points</t>
  </si>
  <si>
    <t>Ladies' Par</t>
  </si>
  <si>
    <t>Mens' Par</t>
  </si>
  <si>
    <t>Mens' Hole Handicap</t>
  </si>
  <si>
    <t>Ladies' Hole Handicap</t>
  </si>
  <si>
    <t>Max Handicap</t>
  </si>
  <si>
    <t>Player 4</t>
  </si>
  <si>
    <t>Player 5</t>
  </si>
  <si>
    <t>Marcus Fast</t>
  </si>
  <si>
    <t>Entry</t>
  </si>
  <si>
    <t>Tee</t>
  </si>
  <si>
    <t>Points Needed</t>
  </si>
  <si>
    <t>Player 6</t>
  </si>
  <si>
    <t>Allow</t>
  </si>
  <si>
    <t>Stableford
Points</t>
  </si>
  <si>
    <t>West Woods Sleeping Indian/Cottonwood</t>
  </si>
  <si>
    <t>Iron</t>
  </si>
  <si>
    <t>Iron/Silver</t>
  </si>
  <si>
    <t>Silver</t>
  </si>
  <si>
    <t>Gold</t>
  </si>
  <si>
    <t>2023 June League Outing - West Woods Sleeping Indian/Cottonwood Standard Stableford</t>
  </si>
  <si>
    <t>Sam Ferris</t>
  </si>
  <si>
    <t>Dawn Ferris</t>
  </si>
  <si>
    <t>F</t>
  </si>
  <si>
    <t>Vicki Hubbard</t>
  </si>
  <si>
    <t>Jabob Skora</t>
  </si>
  <si>
    <t>Chris Lundhagen</t>
  </si>
  <si>
    <t>Pete Friesen</t>
  </si>
  <si>
    <t>Player 7</t>
  </si>
  <si>
    <t>Player 8</t>
  </si>
  <si>
    <t>Player 9</t>
  </si>
  <si>
    <t>Player 10</t>
  </si>
  <si>
    <t>Player 11</t>
  </si>
  <si>
    <t>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</si>
</sst>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">
    <xf numFmtId="0" fontId="0" fillId="0" borderId="0" xfId="0"/>
    <xf numFmtId="1" fontId="0" fillId="0" borderId="0" xfId="0" applyNumberFormat="1"/>
    <xf numFmtId="9" fontId="0" fillId="0" borderId="0" xfId="0" applyNumberFormat="1"/>
    <xf numFmtId="0" fontId="1" fillId="0" borderId="0" xfId="0" applyFont="1"/>
    <xf numFmtId="9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center"/>
    </xf>
    <xf numFmtId="1" fontId="0" fillId="0" borderId="0" xfId="1" applyNumberFormat="1" applyFont="1"/>
    <xf numFmtId="164" fontId="0" fillId="0" borderId="0" xfId="0" applyNumberFormat="1"/>
  </cellXfs>
  <cellStyles count="2">
    <cellStyle name="Currency" xfId="1" builtinId="4"/>
    <cellStyle name="Normal" xfId="0" builtinId="0"/>
  </cellStyles>
  <dxfs count="1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V63"/>
  <sheetViews>
    <sheetView tabSelected="1" topLeftCell="A33" zoomScaleNormal="100" workbookViewId="0">
      <selection activeCell="D19" sqref="D19"/>
    </sheetView>
  </sheetViews>
  <sheetFormatPr defaultRowHeight="15" x14ac:dyDescent="0.25"/>
  <cols>
    <col min="1" max="1" width="31.28515625" customWidth="1"/>
    <col min="2" max="2" width="14.140625" bestFit="1" customWidth="1"/>
    <col min="3" max="3" width="5.7109375" customWidth="1"/>
    <col min="4" max="4" width="7.140625" customWidth="1"/>
    <col min="5" max="5" width="6.140625" customWidth="1"/>
    <col min="6" max="20" width="5.7109375" customWidth="1"/>
    <col min="21" max="21" width="7.140625" customWidth="1"/>
    <col min="22" max="22" width="10.28515625" bestFit="1" customWidth="1"/>
  </cols>
  <sheetData>
    <row r="1" spans="1:22" ht="15.75" x14ac:dyDescent="0.25">
      <c r="A1" s="3" t="s">
        <v>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15.75" x14ac:dyDescent="0.25">
      <c r="A3" s="3" t="s">
        <v>1</v>
      </c>
      <c r="B3" s="3"/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5">
        <v>12</v>
      </c>
      <c r="O3" s="5">
        <v>13</v>
      </c>
      <c r="P3" s="5">
        <v>14</v>
      </c>
      <c r="Q3" s="5">
        <v>15</v>
      </c>
      <c r="R3" s="5">
        <v>16</v>
      </c>
      <c r="S3" s="5">
        <v>17</v>
      </c>
      <c r="T3" s="5">
        <v>18</v>
      </c>
      <c r="U3" s="3" t="s">
        <v>28</v>
      </c>
      <c r="V3" s="3"/>
    </row>
    <row r="4" spans="1:22" ht="15.75" x14ac:dyDescent="0.25">
      <c r="A4" s="3" t="s">
        <v>34</v>
      </c>
      <c r="B4" s="3"/>
      <c r="C4" s="10" cm="1">
        <f t="array" ref="C4">INDEX(HoleParM,C3,0)</f>
        <v>4</v>
      </c>
      <c r="D4" s="10" cm="1">
        <f t="array" ref="D4">INDEX(HoleParM,D3,0)</f>
        <v>5</v>
      </c>
      <c r="E4" s="10" cm="1">
        <f t="array" ref="E4">INDEX(HoleParM,E3,0)</f>
        <v>4</v>
      </c>
      <c r="F4" s="10" cm="1">
        <f t="array" ref="F4">INDEX(HoleParM,F3,0)</f>
        <v>4</v>
      </c>
      <c r="G4" s="10" cm="1">
        <f t="array" ref="G4">INDEX(HoleParM,G3,0)</f>
        <v>5</v>
      </c>
      <c r="H4" s="10" cm="1">
        <f t="array" ref="H4">INDEX(HoleParM,H3,0)</f>
        <v>3</v>
      </c>
      <c r="I4" s="10" cm="1">
        <f t="array" ref="I4">INDEX(HoleParM,I3,0)</f>
        <v>4</v>
      </c>
      <c r="J4" s="10" cm="1">
        <f t="array" ref="J4">INDEX(HoleParM,J3,0)</f>
        <v>3</v>
      </c>
      <c r="K4" s="10" cm="1">
        <f t="array" ref="K4">INDEX(HoleParM,K3,0)</f>
        <v>4</v>
      </c>
      <c r="L4" s="10" cm="1">
        <f t="array" ref="L4">INDEX(HoleParM,L3,0)</f>
        <v>4</v>
      </c>
      <c r="M4" s="10" cm="1">
        <f t="array" ref="M4">INDEX(HoleParM,M3,0)</f>
        <v>4</v>
      </c>
      <c r="N4" s="10" cm="1">
        <f t="array" ref="N4">INDEX(HoleParM,N3,0)</f>
        <v>3</v>
      </c>
      <c r="O4" s="10" cm="1">
        <f t="array" ref="O4">INDEX(HoleParM,O3,0)</f>
        <v>4</v>
      </c>
      <c r="P4" s="10" cm="1">
        <f t="array" ref="P4">INDEX(HoleParM,P3,0)</f>
        <v>5</v>
      </c>
      <c r="Q4" s="10" cm="1">
        <f t="array" ref="Q4">INDEX(HoleParM,Q3,0)</f>
        <v>3</v>
      </c>
      <c r="R4" s="10" cm="1">
        <f t="array" ref="R4">INDEX(HoleParM,R3,0)</f>
        <v>4</v>
      </c>
      <c r="S4" s="10" cm="1">
        <f t="array" ref="S4">INDEX(HoleParM,S3,0)</f>
        <v>4</v>
      </c>
      <c r="T4" s="10" cm="1">
        <f t="array" ref="T4">INDEX(HoleParM,T3,0)</f>
        <v>5</v>
      </c>
      <c r="U4" s="7">
        <f>SUM(C4:T4)</f>
        <v>72</v>
      </c>
      <c r="V4" s="3"/>
    </row>
    <row r="5" spans="1:22" ht="15.75" x14ac:dyDescent="0.25">
      <c r="A5" s="3" t="s">
        <v>35</v>
      </c>
      <c r="B5" s="3"/>
      <c r="C5" s="10" cm="1">
        <f t="array" ref="C5">INDEX(HoleHandicapM,C3,0)</f>
        <v>11</v>
      </c>
      <c r="D5" s="10" cm="1">
        <f t="array" ref="D5">INDEX(HoleHandicapM,D3,0)</f>
        <v>3</v>
      </c>
      <c r="E5" s="10" cm="1">
        <f t="array" ref="E5">INDEX(HoleHandicapM,E3,0)</f>
        <v>9</v>
      </c>
      <c r="F5" s="10" cm="1">
        <f t="array" ref="F5">INDEX(HoleHandicapM,F3,0)</f>
        <v>5</v>
      </c>
      <c r="G5" s="10" cm="1">
        <f t="array" ref="G5">INDEX(HoleHandicapM,G3,0)</f>
        <v>1</v>
      </c>
      <c r="H5" s="10" cm="1">
        <f t="array" ref="H5">INDEX(HoleHandicapM,H3,0)</f>
        <v>17</v>
      </c>
      <c r="I5" s="10" cm="1">
        <f t="array" ref="I5">INDEX(HoleHandicapM,I3,0)</f>
        <v>7</v>
      </c>
      <c r="J5" s="10" cm="1">
        <f t="array" ref="J5">INDEX(HoleHandicapM,J3,0)</f>
        <v>15</v>
      </c>
      <c r="K5" s="10" cm="1">
        <f t="array" ref="K5">INDEX(HoleHandicapM,K3,0)</f>
        <v>13</v>
      </c>
      <c r="L5" s="10" cm="1">
        <f t="array" ref="L5">INDEX(HoleHandicapM,L3,0)</f>
        <v>10</v>
      </c>
      <c r="M5" s="10" cm="1">
        <f t="array" ref="M5">INDEX(HoleHandicapM,M3,0)</f>
        <v>2</v>
      </c>
      <c r="N5" s="10" cm="1">
        <f t="array" ref="N5">INDEX(HoleHandicapM,N3,0)</f>
        <v>12</v>
      </c>
      <c r="O5" s="10" cm="1">
        <f t="array" ref="O5">INDEX(HoleHandicapM,O3,0)</f>
        <v>8</v>
      </c>
      <c r="P5" s="10" cm="1">
        <f t="array" ref="P5">INDEX(HoleHandicapM,P3,0)</f>
        <v>4</v>
      </c>
      <c r="Q5" s="10" cm="1">
        <f t="array" ref="Q5">INDEX(HoleHandicapM,Q3,0)</f>
        <v>18</v>
      </c>
      <c r="R5" s="10" cm="1">
        <f t="array" ref="R5">INDEX(HoleHandicapM,R3,0)</f>
        <v>14</v>
      </c>
      <c r="S5" s="10" cm="1">
        <f t="array" ref="S5">INDEX(HoleHandicapM,S3,0)</f>
        <v>16</v>
      </c>
      <c r="T5" s="10" cm="1">
        <f t="array" ref="T5">INDEX(HoleHandicapM,T3,0)</f>
        <v>6</v>
      </c>
      <c r="U5" s="7"/>
      <c r="V5" s="3"/>
    </row>
    <row r="6" spans="1:22" ht="15.75" x14ac:dyDescent="0.25">
      <c r="A6" s="3" t="s">
        <v>33</v>
      </c>
      <c r="B6" s="3"/>
      <c r="C6" s="10" cm="1">
        <f t="array" ref="C6">INDEX(HoleParF,C3,0)</f>
        <v>4</v>
      </c>
      <c r="D6" s="10" cm="1">
        <f t="array" ref="D6">INDEX(HoleParF,D3,0)</f>
        <v>5</v>
      </c>
      <c r="E6" s="10" cm="1">
        <f t="array" ref="E6">INDEX(HoleParF,E3,0)</f>
        <v>4</v>
      </c>
      <c r="F6" s="10" cm="1">
        <f t="array" ref="F6">INDEX(HoleParF,F3,0)</f>
        <v>4</v>
      </c>
      <c r="G6" s="10" cm="1">
        <f t="array" ref="G6">INDEX(HoleParF,G3,0)</f>
        <v>5</v>
      </c>
      <c r="H6" s="10" cm="1">
        <f t="array" ref="H6">INDEX(HoleParF,H3,0)</f>
        <v>3</v>
      </c>
      <c r="I6" s="10" cm="1">
        <f t="array" ref="I6">INDEX(HoleParF,I3,0)</f>
        <v>4</v>
      </c>
      <c r="J6" s="10" cm="1">
        <f t="array" ref="J6">INDEX(HoleParF,J3,0)</f>
        <v>3</v>
      </c>
      <c r="K6" s="10" cm="1">
        <f t="array" ref="K6">INDEX(HoleParF,K3,0)</f>
        <v>4</v>
      </c>
      <c r="L6" s="10" cm="1">
        <f t="array" ref="L6">INDEX(HoleParF,L3,0)</f>
        <v>4</v>
      </c>
      <c r="M6" s="10" cm="1">
        <f t="array" ref="M6">INDEX(HoleParF,M3,0)</f>
        <v>4</v>
      </c>
      <c r="N6" s="10" cm="1">
        <f t="array" ref="N6">INDEX(HoleParF,N3,0)</f>
        <v>3</v>
      </c>
      <c r="O6" s="10" cm="1">
        <f t="array" ref="O6">INDEX(HoleParF,O3,0)</f>
        <v>4</v>
      </c>
      <c r="P6" s="10" cm="1">
        <f t="array" ref="P6">INDEX(HoleParF,P3,0)</f>
        <v>5</v>
      </c>
      <c r="Q6" s="10" cm="1">
        <f t="array" ref="Q6">INDEX(HoleParF,Q3,0)</f>
        <v>3</v>
      </c>
      <c r="R6" s="10" cm="1">
        <f t="array" ref="R6">INDEX(HoleParF,R3,0)</f>
        <v>4</v>
      </c>
      <c r="S6" s="10" cm="1">
        <f t="array" ref="S6">INDEX(HoleParF,S3,0)</f>
        <v>4</v>
      </c>
      <c r="T6" s="10" cm="1">
        <f t="array" ref="T6">INDEX(HoleParF,T3,0)</f>
        <v>5</v>
      </c>
      <c r="U6" s="7">
        <f>SUM(C6:T6)</f>
        <v>72</v>
      </c>
      <c r="V6" s="3"/>
    </row>
    <row r="7" spans="1:22" ht="15.75" x14ac:dyDescent="0.25">
      <c r="A7" s="3" t="s">
        <v>36</v>
      </c>
      <c r="B7" s="3"/>
      <c r="C7" s="10" cm="1">
        <f t="array" ref="C7">INDEX(HoleHandicapF,C3,0)</f>
        <v>13</v>
      </c>
      <c r="D7" s="10" cm="1">
        <f t="array" ref="D7">INDEX(HoleHandicapF,D3,0)</f>
        <v>3</v>
      </c>
      <c r="E7" s="10" cm="1">
        <f t="array" ref="E7">INDEX(HoleHandicapF,E3,0)</f>
        <v>9</v>
      </c>
      <c r="F7" s="10" cm="1">
        <f t="array" ref="F7">INDEX(HoleHandicapF,F3,0)</f>
        <v>11</v>
      </c>
      <c r="G7" s="10" cm="1">
        <f t="array" ref="G7">INDEX(HoleHandicapF,G3,0)</f>
        <v>1</v>
      </c>
      <c r="H7" s="10" cm="1">
        <f t="array" ref="H7">INDEX(HoleHandicapF,H3,0)</f>
        <v>17</v>
      </c>
      <c r="I7" s="10" cm="1">
        <f t="array" ref="I7">INDEX(HoleHandicapF,I3,0)</f>
        <v>7</v>
      </c>
      <c r="J7" s="10" cm="1">
        <f t="array" ref="J7">INDEX(HoleHandicapF,J3,0)</f>
        <v>15</v>
      </c>
      <c r="K7" s="10" cm="1">
        <f t="array" ref="K7">INDEX(HoleHandicapF,K3,0)</f>
        <v>5</v>
      </c>
      <c r="L7" s="10" cm="1">
        <f t="array" ref="L7">INDEX(HoleHandicapF,L3,0)</f>
        <v>14</v>
      </c>
      <c r="M7" s="10" cm="1">
        <f t="array" ref="M7">INDEX(HoleHandicapF,M3,0)</f>
        <v>2</v>
      </c>
      <c r="N7" s="10" cm="1">
        <f t="array" ref="N7">INDEX(HoleHandicapF,N3,0)</f>
        <v>18</v>
      </c>
      <c r="O7" s="10" cm="1">
        <f t="array" ref="O7">INDEX(HoleHandicapF,O3,0)</f>
        <v>4</v>
      </c>
      <c r="P7" s="10" cm="1">
        <f t="array" ref="P7">INDEX(HoleHandicapF,P3,0)</f>
        <v>6</v>
      </c>
      <c r="Q7" s="10" cm="1">
        <f t="array" ref="Q7">INDEX(HoleHandicapF,Q3,0)</f>
        <v>16</v>
      </c>
      <c r="R7" s="10" cm="1">
        <f t="array" ref="R7">INDEX(HoleHandicapF,R3,0)</f>
        <v>12</v>
      </c>
      <c r="S7" s="10" cm="1">
        <f t="array" ref="S7">INDEX(HoleHandicapF,S3,0)</f>
        <v>10</v>
      </c>
      <c r="T7" s="10" cm="1">
        <f t="array" ref="T7">INDEX(HoleHandicapF,T3,0)</f>
        <v>8</v>
      </c>
      <c r="U7" s="7"/>
      <c r="V7" s="3"/>
    </row>
    <row r="8" spans="1:22" ht="15.75" x14ac:dyDescent="0.25">
      <c r="A8" s="3"/>
      <c r="B8" s="3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7"/>
      <c r="V8" s="3"/>
    </row>
    <row r="9" spans="1:22" ht="30.75" customHeight="1" x14ac:dyDescent="0.25">
      <c r="A9" s="3" t="str">
        <f>_xlfn.CONCAT("Player ",ROUNDDOWN((ROW()/4)-1,0))</f>
        <v>Player 1</v>
      </c>
      <c r="B9" s="3" t="s">
        <v>42</v>
      </c>
      <c r="C9" s="3" t="s">
        <v>0</v>
      </c>
      <c r="D9" s="4" t="s">
        <v>31</v>
      </c>
      <c r="E9" s="3" t="s">
        <v>45</v>
      </c>
      <c r="F9" s="3" t="s">
        <v>43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8" t="s">
        <v>46</v>
      </c>
    </row>
    <row r="10" spans="1:22" ht="15.75" x14ac:dyDescent="0.25">
      <c r="A10" s="3" t="str" cm="1">
        <f t="array" ref="A10">_xlfn.LET(_xlpm.r,ROUNDDOWN(ROW()/4-1,0),IF(COUNTIF(PlayerPlayerNo,_xlpm.r),INDEX(PlayerNames,SUMPRODUCT((PlayerPlayerNo=_xlpm.r)*ROW(PlayerNames))-1),""))</f>
        <v>John Allen</v>
      </c>
      <c r="B10" s="3" t="str" cm="1">
        <f t="array" ref="B10">_xlfn.LET(_xlpm.r,ROUNDDOWN(ROW()/4-1,0),IF(COUNTIF(PlayerPlayerNo,_xlpm.r),INDEX(PlayerTees,SUMPRODUCT((PlayerPlayerNo=(VALUE(RIGHT($A9,1))))*ROW(PlayerNames))-1),""))</f>
        <v>Iron/Silver</v>
      </c>
      <c r="C10" s="3" cm="1">
        <f t="array" ref="C10">_xlfn.LET(_xlpm.r,ROUNDDOWN(ROW()/4-1,0),IF(COUNTIF(PlayerPlayerNo,_xlpm.r),MIN(Max_Handicap,INDEX(PlayerHandicaps,SUMPRODUCT((PlayerPlayerNo=VALUE(RIGHT($A9,1)))*ROW(PlayerHandicaps))-1)),""))</f>
        <v>27.2</v>
      </c>
      <c r="D10" s="3" cm="1">
        <f t="array" ref="D10">_xlfn.LET(_xlpm.r,ROUNDDOWN(ROW()/4-1,0),IF(COUNTIF(PlayerPlayerNo,_xlpm.r),IF(C10="","",IF(C10=0,0,IF(INDEX(PlayerGender,SUMPRODUCT((PlayerPlayerNo=VALUE(RIGHT($A9,1)))*ROW(PlayerGender))-1)="M",ROUND(($C10*(HLOOKUP($B10,MensTees,2,FALSE)/113))+(HLOOKUP(B10,MensTees,3,FALSE)-HLOOKUP($B10,MensTees,4,FALSE)),0),ROUND(($C10*(HLOOKUP($B10,WomensTees,2,FALSE)/113))+(HLOOKUP($B10,WomensTees,3,FALSE)-HLOOKUP($B10,WomensTees,4,FALSE)),0)))),""))</f>
        <v>26</v>
      </c>
      <c r="E10">
        <f>$D10*Handicap_Allowance</f>
        <v>26</v>
      </c>
      <c r="F10" s="3">
        <f>36-$E10</f>
        <v>10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 t="s">
        <v>3</v>
      </c>
      <c r="V10" s="3"/>
    </row>
    <row r="11" spans="1:22" ht="15.75" x14ac:dyDescent="0.25">
      <c r="A11" s="3" t="str">
        <f>_xlfn.CONCAT(A10," Gross")</f>
        <v>John Allen Gross</v>
      </c>
      <c r="B11" s="3"/>
      <c r="C11" s="6">
        <v>6</v>
      </c>
      <c r="D11" s="6">
        <v>7</v>
      </c>
      <c r="E11" s="6">
        <v>6</v>
      </c>
      <c r="F11" s="6">
        <v>5</v>
      </c>
      <c r="G11" s="6">
        <v>9</v>
      </c>
      <c r="H11" s="6">
        <v>4</v>
      </c>
      <c r="I11" s="6">
        <v>5</v>
      </c>
      <c r="J11" s="6">
        <v>9</v>
      </c>
      <c r="K11" s="6">
        <v>5</v>
      </c>
      <c r="L11" s="6">
        <v>10</v>
      </c>
      <c r="M11" s="6">
        <v>6</v>
      </c>
      <c r="N11" s="6">
        <v>5</v>
      </c>
      <c r="O11" s="6">
        <v>6</v>
      </c>
      <c r="P11" s="6">
        <v>10</v>
      </c>
      <c r="Q11" s="6">
        <v>5</v>
      </c>
      <c r="R11" s="6">
        <v>6</v>
      </c>
      <c r="S11" s="6">
        <v>7</v>
      </c>
      <c r="T11" s="6">
        <v>7</v>
      </c>
      <c r="U11" s="6">
        <f>SUM(C11:T11)</f>
        <v>118</v>
      </c>
      <c r="V11" s="3"/>
    </row>
    <row r="12" spans="1:22" ht="15.75" x14ac:dyDescent="0.25">
      <c r="A12" s="3" t="str">
        <f>_xlfn.CONCAT(A10," Stableford Points")</f>
        <v>John Allen Stableford Points</v>
      </c>
      <c r="B12" s="3"/>
      <c r="C12" s="6" cm="1">
        <f t="array" ref="C12">IF(ISBLANK(C11),"",VLOOKUP(C11-IF(INDEX(PlayerGender,SUMPRODUCT((PlayerPlayerNo=VALUE(RIGHT($A9,1)))*ROW(PlayerGender))-1)="M",INDEX(HoleParM,C$3,0),INDEX(HoleParF,C$3,0)),Stableford_Points,2))</f>
        <v>0</v>
      </c>
      <c r="D12" s="6" cm="1">
        <f t="array" ref="D12">IF(ISBLANK(D11),"",VLOOKUP(D11-IF(INDEX(PlayerGender,SUMPRODUCT((PlayerPlayerNo=VALUE(RIGHT($A9,1)))*ROW(PlayerGender))-1)="M",INDEX(HoleParM,D$3,0),INDEX(HoleParF,D$3,0)),Stableford_Points,2))</f>
        <v>0</v>
      </c>
      <c r="E12" s="6" cm="1">
        <f t="array" ref="E12">IF(ISBLANK(E11),"",VLOOKUP(E11-IF(INDEX(PlayerGender,SUMPRODUCT((PlayerPlayerNo=VALUE(RIGHT($A9,1)))*ROW(PlayerGender))-1)="M",INDEX(HoleParM,E$3,0),INDEX(HoleParF,E$3,0)),Stableford_Points,2))</f>
        <v>0</v>
      </c>
      <c r="F12" s="6" cm="1">
        <f t="array" ref="F12">IF(ISBLANK(F11),"",VLOOKUP(F11-IF(INDEX(PlayerGender,SUMPRODUCT((PlayerPlayerNo=VALUE(RIGHT($A9,1)))*ROW(PlayerGender))-1)="M",INDEX(HoleParM,F$3,0),INDEX(HoleParF,F$3,0)),Stableford_Points,2))</f>
        <v>1</v>
      </c>
      <c r="G12" s="6" cm="1">
        <f t="array" ref="G12">IF(ISBLANK(G11),"",VLOOKUP(G11-IF(INDEX(PlayerGender,SUMPRODUCT((PlayerPlayerNo=VALUE(RIGHT($A9,1)))*ROW(PlayerGender))-1)="M",INDEX(HoleParM,G$3,0),INDEX(HoleParF,G$3,0)),Stableford_Points,2))</f>
        <v>0</v>
      </c>
      <c r="H12" s="6" cm="1">
        <f t="array" ref="H12">IF(ISBLANK(H11),"",VLOOKUP(H11-IF(INDEX(PlayerGender,SUMPRODUCT((PlayerPlayerNo=VALUE(RIGHT($A9,1)))*ROW(PlayerGender))-1)="M",INDEX(HoleParM,H$3,0),INDEX(HoleParF,H$3,0)),Stableford_Points,2))</f>
        <v>1</v>
      </c>
      <c r="I12" s="6" cm="1">
        <f t="array" ref="I12">IF(ISBLANK(I11),"",VLOOKUP(I11-IF(INDEX(PlayerGender,SUMPRODUCT((PlayerPlayerNo=VALUE(RIGHT($A9,1)))*ROW(PlayerGender))-1)="M",INDEX(HoleParM,I$3,0),INDEX(HoleParF,I$3,0)),Stableford_Points,2))</f>
        <v>1</v>
      </c>
      <c r="J12" s="6" cm="1">
        <f t="array" ref="J12">IF(ISBLANK(J11),"",VLOOKUP(J11-IF(INDEX(PlayerGender,SUMPRODUCT((PlayerPlayerNo=VALUE(RIGHT($A9,1)))*ROW(PlayerGender))-1)="M",INDEX(HoleParM,J$3,0),INDEX(HoleParF,J$3,0)),Stableford_Points,2))</f>
        <v>0</v>
      </c>
      <c r="K12" s="6" cm="1">
        <f t="array" ref="K12">IF(ISBLANK(K11),"",VLOOKUP(K11-IF(INDEX(PlayerGender,SUMPRODUCT((PlayerPlayerNo=VALUE(RIGHT($A9,1)))*ROW(PlayerGender))-1)="M",INDEX(HoleParM,K$3,0),INDEX(HoleParF,K$3,0)),Stableford_Points,2))</f>
        <v>1</v>
      </c>
      <c r="L12" s="6" cm="1">
        <f t="array" ref="L12">IF(ISBLANK(L11),"",VLOOKUP(L11-IF(INDEX(PlayerGender,SUMPRODUCT((PlayerPlayerNo=VALUE(RIGHT($A9,1)))*ROW(PlayerGender))-1)="M",INDEX(HoleParM,L$3,0),INDEX(HoleParF,L$3,0)),Stableford_Points,2))</f>
        <v>0</v>
      </c>
      <c r="M12" s="6" cm="1">
        <f t="array" ref="M12">IF(ISBLANK(M11),"",VLOOKUP(M11-IF(INDEX(PlayerGender,SUMPRODUCT((PlayerPlayerNo=VALUE(RIGHT($A9,1)))*ROW(PlayerGender))-1)="M",INDEX(HoleParM,M$3,0),INDEX(HoleParF,M$3,0)),Stableford_Points,2))</f>
        <v>0</v>
      </c>
      <c r="N12" s="6" cm="1">
        <f t="array" ref="N12">IF(ISBLANK(N11),"",VLOOKUP(N11-IF(INDEX(PlayerGender,SUMPRODUCT((PlayerPlayerNo=VALUE(RIGHT($A9,1)))*ROW(PlayerGender))-1)="M",INDEX(HoleParM,N$3,0),INDEX(HoleParF,N$3,0)),Stableford_Points,2))</f>
        <v>0</v>
      </c>
      <c r="O12" s="6" cm="1">
        <f t="array" ref="O12">IF(ISBLANK(O11),"",VLOOKUP(O11-IF(INDEX(PlayerGender,SUMPRODUCT((PlayerPlayerNo=VALUE(RIGHT($A9,1)))*ROW(PlayerGender))-1)="M",INDEX(HoleParM,O$3,0),INDEX(HoleParF,O$3,0)),Stableford_Points,2))</f>
        <v>0</v>
      </c>
      <c r="P12" s="6" cm="1">
        <f t="array" ref="P12">IF(ISBLANK(P11),"",VLOOKUP(P11-IF(INDEX(PlayerGender,SUMPRODUCT((PlayerPlayerNo=VALUE(RIGHT($A9,1)))*ROW(PlayerGender))-1)="M",INDEX(HoleParM,P$3,0),INDEX(HoleParF,P$3,0)),Stableford_Points,2))</f>
        <v>0</v>
      </c>
      <c r="Q12" s="6" cm="1">
        <f t="array" ref="Q12">IF(ISBLANK(Q11),"",VLOOKUP(Q11-IF(INDEX(PlayerGender,SUMPRODUCT((PlayerPlayerNo=VALUE(RIGHT($A9,1)))*ROW(PlayerGender))-1)="M",INDEX(HoleParM,Q$3,0),INDEX(HoleParF,Q$3,0)),Stableford_Points,2))</f>
        <v>0</v>
      </c>
      <c r="R12" s="6" cm="1">
        <f t="array" ref="R12">IF(ISBLANK(R11),"",VLOOKUP(R11-IF(INDEX(PlayerGender,SUMPRODUCT((PlayerPlayerNo=VALUE(RIGHT($A9,1)))*ROW(PlayerGender))-1)="M",INDEX(HoleParM,R$3,0),INDEX(HoleParF,R$3,0)),Stableford_Points,2))</f>
        <v>0</v>
      </c>
      <c r="S12" s="6" cm="1">
        <f t="array" ref="S12">IF(ISBLANK(S11),"",VLOOKUP(S11-IF(INDEX(PlayerGender,SUMPRODUCT((PlayerPlayerNo=VALUE(RIGHT($A9,1)))*ROW(PlayerGender))-1)="M",INDEX(HoleParM,S$3,0),INDEX(HoleParF,S$3,0)),Stableford_Points,2))</f>
        <v>0</v>
      </c>
      <c r="T12" s="6" cm="1">
        <f t="array" ref="T12">IF(ISBLANK(T11),"",VLOOKUP(T11-IF(INDEX(PlayerGender,SUMPRODUCT((PlayerPlayerNo=VALUE(RIGHT($A9,1)))*ROW(PlayerGender))-1)="M",INDEX(HoleParM,T$3,0),INDEX(HoleParF,T$3,0)),Stableford_Points,2))</f>
        <v>0</v>
      </c>
      <c r="U12" s="6">
        <f>SUM(C12:T12)</f>
        <v>4</v>
      </c>
      <c r="V12" s="6">
        <f>IF($U12=0,"",U12-F10)</f>
        <v>-6</v>
      </c>
    </row>
    <row r="13" spans="1:22" ht="15.75" x14ac:dyDescent="0.25">
      <c r="A13" s="3"/>
      <c r="B13" s="3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7"/>
    </row>
    <row r="14" spans="1:22" ht="15.75" x14ac:dyDescent="0.25">
      <c r="A14" s="3" t="str">
        <f>_xlfn.CONCAT("Player ",ROUNDDOWN((ROW()/4)-1,0))</f>
        <v>Player 2</v>
      </c>
      <c r="B14" s="3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7"/>
    </row>
    <row r="15" spans="1:22" ht="15.75" x14ac:dyDescent="0.25">
      <c r="A15" s="3" t="str" cm="1">
        <f t="array" ref="A15">INDEX(PlayerNames,SUMPRODUCT((PlayerPlayerNo=VALUE(RIGHT(A14,1)))*ROW(PlayerNames))-1)</f>
        <v>Curt Balcerzak</v>
      </c>
      <c r="B15" s="3" t="str" cm="1">
        <f t="array" ref="B15">INDEX(PlayerTees,SUMPRODUCT((PlayerPlayerNo=(VALUE(RIGHT($A14,1))))*ROW(PlayerNames))-1)</f>
        <v>Iron</v>
      </c>
      <c r="C15" s="3" cm="1">
        <f t="array" ref="C15">MIN(30,INDEX(PlayerHandicaps,SUMPRODUCT((PlayerPlayerNo=VALUE(RIGHT($A14,1)))*ROW(PlayerHandicaps))-1))</f>
        <v>13.1</v>
      </c>
      <c r="D15" s="3" cm="1">
        <f t="array" ref="D15">IF(C15="","",IF(C15=0,0,IF(INDEX(PlayerGender,SUMPRODUCT((PlayerPlayerNo=VALUE(RIGHT($A14,1)))*ROW(PlayerGender))-1)="M",ROUND(($C15*(HLOOKUP($B15,MensTees,2,FALSE)/113))+(HLOOKUP(B15,MensTees,3,FALSE)-HLOOKUP($B15,MensTees,4,FALSE)),0),ROUND(($C15*(HLOOKUP($B15,WomensTees,2,FALSE)/113))+(HLOOKUP($B15,WomensTees,3,FALSE)-HLOOKUP($B15,WomensTees,4,FALSE)),0))))</f>
        <v>12</v>
      </c>
      <c r="E15">
        <f>$D15*Handicap_Allowance</f>
        <v>12</v>
      </c>
      <c r="F15" s="3">
        <f>36-$E15</f>
        <v>24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 t="s">
        <v>3</v>
      </c>
      <c r="V15" s="3"/>
    </row>
    <row r="16" spans="1:22" ht="15.75" x14ac:dyDescent="0.25">
      <c r="A16" s="3" t="str">
        <f>_xlfn.CONCAT(A15," Gross")</f>
        <v>Curt Balcerzak Gross</v>
      </c>
      <c r="B16" s="3"/>
      <c r="C16" s="6">
        <v>5</v>
      </c>
      <c r="D16" s="6">
        <v>6</v>
      </c>
      <c r="E16" s="6">
        <v>5</v>
      </c>
      <c r="F16" s="6">
        <v>4</v>
      </c>
      <c r="G16" s="6">
        <v>8</v>
      </c>
      <c r="H16" s="6">
        <v>7</v>
      </c>
      <c r="I16" s="6">
        <v>7</v>
      </c>
      <c r="J16" s="6">
        <v>5</v>
      </c>
      <c r="K16" s="6">
        <v>6</v>
      </c>
      <c r="L16" s="6">
        <v>5</v>
      </c>
      <c r="M16" s="6">
        <v>5</v>
      </c>
      <c r="N16" s="6">
        <v>5</v>
      </c>
      <c r="O16" s="6">
        <v>6</v>
      </c>
      <c r="P16" s="6">
        <v>5</v>
      </c>
      <c r="Q16" s="6">
        <v>4</v>
      </c>
      <c r="R16" s="6">
        <v>4</v>
      </c>
      <c r="S16" s="6">
        <v>5</v>
      </c>
      <c r="T16" s="6">
        <v>6</v>
      </c>
      <c r="U16" s="6">
        <f>SUM(C16:T16)</f>
        <v>98</v>
      </c>
      <c r="V16" s="3"/>
    </row>
    <row r="17" spans="1:22" ht="15.75" x14ac:dyDescent="0.25">
      <c r="A17" s="3" t="str">
        <f>_xlfn.CONCAT(A15," Stableford Points")</f>
        <v>Curt Balcerzak Stableford Points</v>
      </c>
      <c r="B17" s="3"/>
      <c r="C17" s="6" cm="1">
        <f t="array" ref="C17">IF(ISBLANK(C16),"",VLOOKUP(C16-IF(INDEX(PlayerGender,SUMPRODUCT((PlayerPlayerNo=VALUE(RIGHT($A14,1)))*ROW(PlayerGender))-1)="M",INDEX(HoleParM,C$3,0),INDEX(HoleParF,C$3,0)),Stableford_Points,2))</f>
        <v>1</v>
      </c>
      <c r="D17" s="6" cm="1">
        <f t="array" ref="D17">IF(ISBLANK(D16),"",VLOOKUP(D16-IF(INDEX(PlayerGender,SUMPRODUCT((PlayerPlayerNo=VALUE(RIGHT($A14,1)))*ROW(PlayerGender))-1)="M",INDEX(HoleParM,D$3,0),INDEX(HoleParF,D$3,0)),Stableford_Points,2))</f>
        <v>1</v>
      </c>
      <c r="E17" s="6" cm="1">
        <f t="array" ref="E17">IF(ISBLANK(E16),"",VLOOKUP(E16-IF(INDEX(PlayerGender,SUMPRODUCT((PlayerPlayerNo=VALUE(RIGHT($A14,1)))*ROW(PlayerGender))-1)="M",INDEX(HoleParM,E$3,0),INDEX(HoleParF,E$3,0)),Stableford_Points,2))</f>
        <v>1</v>
      </c>
      <c r="F17" s="6" cm="1">
        <f t="array" ref="F17">IF(ISBLANK(F16),"",VLOOKUP(F16-IF(INDEX(PlayerGender,SUMPRODUCT((PlayerPlayerNo=VALUE(RIGHT($A14,1)))*ROW(PlayerGender))-1)="M",INDEX(HoleParM,F$3,0),INDEX(HoleParF,F$3,0)),Stableford_Points,2))</f>
        <v>2</v>
      </c>
      <c r="G17" s="6" cm="1">
        <f t="array" ref="G17">IF(ISBLANK(G16),"",VLOOKUP(G16-IF(INDEX(PlayerGender,SUMPRODUCT((PlayerPlayerNo=VALUE(RIGHT($A14,1)))*ROW(PlayerGender))-1)="M",INDEX(HoleParM,G$3,0),INDEX(HoleParF,G$3,0)),Stableford_Points,2))</f>
        <v>0</v>
      </c>
      <c r="H17" s="6" cm="1">
        <f t="array" ref="H17">IF(ISBLANK(H16),"",VLOOKUP(H16-IF(INDEX(PlayerGender,SUMPRODUCT((PlayerPlayerNo=VALUE(RIGHT($A14,1)))*ROW(PlayerGender))-1)="M",INDEX(HoleParM,H$3,0),INDEX(HoleParF,H$3,0)),Stableford_Points,2))</f>
        <v>0</v>
      </c>
      <c r="I17" s="6" cm="1">
        <f t="array" ref="I17">IF(ISBLANK(I16),"",VLOOKUP(I16-IF(INDEX(PlayerGender,SUMPRODUCT((PlayerPlayerNo=VALUE(RIGHT($A14,1)))*ROW(PlayerGender))-1)="M",INDEX(HoleParM,I$3,0),INDEX(HoleParF,I$3,0)),Stableford_Points,2))</f>
        <v>0</v>
      </c>
      <c r="J17" s="6" cm="1">
        <f t="array" ref="J17">IF(ISBLANK(J16),"",VLOOKUP(J16-IF(INDEX(PlayerGender,SUMPRODUCT((PlayerPlayerNo=VALUE(RIGHT($A14,1)))*ROW(PlayerGender))-1)="M",INDEX(HoleParM,J$3,0),INDEX(HoleParF,J$3,0)),Stableford_Points,2))</f>
        <v>0</v>
      </c>
      <c r="K17" s="6" cm="1">
        <f t="array" ref="K17">IF(ISBLANK(K16),"",VLOOKUP(K16-IF(INDEX(PlayerGender,SUMPRODUCT((PlayerPlayerNo=VALUE(RIGHT($A14,1)))*ROW(PlayerGender))-1)="M",INDEX(HoleParM,K$3,0),INDEX(HoleParF,K$3,0)),Stableford_Points,2))</f>
        <v>0</v>
      </c>
      <c r="L17" s="6" cm="1">
        <f t="array" ref="L17">IF(ISBLANK(L16),"",VLOOKUP(L16-IF(INDEX(PlayerGender,SUMPRODUCT((PlayerPlayerNo=VALUE(RIGHT($A14,1)))*ROW(PlayerGender))-1)="M",INDEX(HoleParM,L$3,0),INDEX(HoleParF,L$3,0)),Stableford_Points,2))</f>
        <v>1</v>
      </c>
      <c r="M17" s="6" cm="1">
        <f t="array" ref="M17">IF(ISBLANK(M16),"",VLOOKUP(M16-IF(INDEX(PlayerGender,SUMPRODUCT((PlayerPlayerNo=VALUE(RIGHT($A14,1)))*ROW(PlayerGender))-1)="M",INDEX(HoleParM,M$3,0),INDEX(HoleParF,M$3,0)),Stableford_Points,2))</f>
        <v>1</v>
      </c>
      <c r="N17" s="6" cm="1">
        <f t="array" ref="N17">IF(ISBLANK(N16),"",VLOOKUP(N16-IF(INDEX(PlayerGender,SUMPRODUCT((PlayerPlayerNo=VALUE(RIGHT($A14,1)))*ROW(PlayerGender))-1)="M",INDEX(HoleParM,N$3,0),INDEX(HoleParF,N$3,0)),Stableford_Points,2))</f>
        <v>0</v>
      </c>
      <c r="O17" s="6" cm="1">
        <f t="array" ref="O17">IF(ISBLANK(O16),"",VLOOKUP(O16-IF(INDEX(PlayerGender,SUMPRODUCT((PlayerPlayerNo=VALUE(RIGHT($A14,1)))*ROW(PlayerGender))-1)="M",INDEX(HoleParM,O$3,0),INDEX(HoleParF,O$3,0)),Stableford_Points,2))</f>
        <v>0</v>
      </c>
      <c r="P17" s="6" cm="1">
        <f t="array" ref="P17">IF(ISBLANK(P16),"",VLOOKUP(P16-IF(INDEX(PlayerGender,SUMPRODUCT((PlayerPlayerNo=VALUE(RIGHT($A14,1)))*ROW(PlayerGender))-1)="M",INDEX(HoleParM,P$3,0),INDEX(HoleParF,P$3,0)),Stableford_Points,2))</f>
        <v>2</v>
      </c>
      <c r="Q17" s="6" cm="1">
        <f t="array" ref="Q17">IF(ISBLANK(Q16),"",VLOOKUP(Q16-IF(INDEX(PlayerGender,SUMPRODUCT((PlayerPlayerNo=VALUE(RIGHT($A14,1)))*ROW(PlayerGender))-1)="M",INDEX(HoleParM,Q$3,0),INDEX(HoleParF,Q$3,0)),Stableford_Points,2))</f>
        <v>1</v>
      </c>
      <c r="R17" s="6" cm="1">
        <f t="array" ref="R17">IF(ISBLANK(R16),"",VLOOKUP(R16-IF(INDEX(PlayerGender,SUMPRODUCT((PlayerPlayerNo=VALUE(RIGHT($A14,1)))*ROW(PlayerGender))-1)="M",INDEX(HoleParM,R$3,0),INDEX(HoleParF,R$3,0)),Stableford_Points,2))</f>
        <v>2</v>
      </c>
      <c r="S17" s="6" cm="1">
        <f t="array" ref="S17">IF(ISBLANK(S16),"",VLOOKUP(S16-IF(INDEX(PlayerGender,SUMPRODUCT((PlayerPlayerNo=VALUE(RIGHT($A14,1)))*ROW(PlayerGender))-1)="M",INDEX(HoleParM,S$3,0),INDEX(HoleParF,S$3,0)),Stableford_Points,2))</f>
        <v>1</v>
      </c>
      <c r="T17" s="6" cm="1">
        <f t="array" ref="T17">IF(ISBLANK(T16),"",VLOOKUP(T16-IF(INDEX(PlayerGender,SUMPRODUCT((PlayerPlayerNo=VALUE(RIGHT($A14,1)))*ROW(PlayerGender))-1)="M",INDEX(HoleParM,T$3,0),INDEX(HoleParF,T$3,0)),Stableford_Points,2))</f>
        <v>1</v>
      </c>
      <c r="U17" s="6">
        <f>SUM(C17:T17)</f>
        <v>14</v>
      </c>
      <c r="V17" s="6">
        <f>IF($U17=0,"",U17-F15)</f>
        <v>-10</v>
      </c>
    </row>
    <row r="18" spans="1:22" ht="15.75" x14ac:dyDescent="0.25">
      <c r="A18" s="3"/>
      <c r="B18" s="3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7"/>
    </row>
    <row r="19" spans="1:22" ht="31.5" x14ac:dyDescent="0.25">
      <c r="A19" s="3" t="str">
        <f>_xlfn.CONCAT("Player ",ROUNDDOWN((ROW()/4)-1,0))</f>
        <v>Player 3</v>
      </c>
      <c r="B19" s="3" t="s">
        <v>42</v>
      </c>
      <c r="C19" s="3" t="s">
        <v>0</v>
      </c>
      <c r="D19" s="4" t="s">
        <v>31</v>
      </c>
      <c r="E19" s="3" t="s">
        <v>45</v>
      </c>
      <c r="F19" s="3" t="s">
        <v>43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7"/>
    </row>
    <row r="20" spans="1:22" ht="15.75" x14ac:dyDescent="0.25">
      <c r="A20" s="3" t="str" cm="1">
        <f t="array" ref="A20">INDEX(PlayerNames,SUMPRODUCT((PlayerPlayerNo=VALUE(RIGHT(A19,1)))*ROW(PlayerNames))-1)</f>
        <v>Pete Friesen</v>
      </c>
      <c r="B20" s="3" t="str" cm="1">
        <f t="array" ref="B20">INDEX(PlayerTees,SUMPRODUCT((PlayerPlayerNo=(VALUE(RIGHT($A19,1))))*ROW(PlayerNames))-1)</f>
        <v>Iron/Silver</v>
      </c>
      <c r="C20" s="3" cm="1">
        <f t="array" ref="C20">MIN(30,INDEX(PlayerHandicaps,SUMPRODUCT((PlayerPlayerNo=VALUE(RIGHT($A19,1)))*ROW(PlayerHandicaps))-1))</f>
        <v>30</v>
      </c>
      <c r="D20" s="3" cm="1">
        <f t="array" ref="D20">IF(C20="","",IF(C20=0,0,IF(INDEX(PlayerGender,SUMPRODUCT((PlayerPlayerNo=VALUE(RIGHT($A19,1)))*ROW(PlayerGender))-1)="M",ROUND(($C20*(HLOOKUP($B20,MensTees,2,FALSE)/113))+(HLOOKUP(B20,MensTees,3,FALSE)-HLOOKUP($B20,MensTees,4,FALSE)),0),ROUND(($C20*(HLOOKUP($B20,WomensTees,2,FALSE)/113))+(HLOOKUP($B20,WomensTees,3,FALSE)-HLOOKUP($B20,WomensTees,4,FALSE)),0))))</f>
        <v>29</v>
      </c>
      <c r="E20">
        <f>$D20*Handicap_Allowance</f>
        <v>29</v>
      </c>
      <c r="F20" s="3">
        <f>36-D20</f>
        <v>7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 t="s">
        <v>3</v>
      </c>
      <c r="V20" s="7"/>
    </row>
    <row r="21" spans="1:22" ht="15.75" x14ac:dyDescent="0.25">
      <c r="A21" s="3" t="str">
        <f>_xlfn.CONCAT(A20," Gross")</f>
        <v>Pete Friesen Gross</v>
      </c>
      <c r="B21" s="3"/>
      <c r="C21" s="6">
        <v>7</v>
      </c>
      <c r="D21" s="6">
        <v>10</v>
      </c>
      <c r="E21" s="6">
        <v>8</v>
      </c>
      <c r="F21" s="6">
        <v>7</v>
      </c>
      <c r="G21" s="6">
        <v>10</v>
      </c>
      <c r="H21" s="6">
        <v>3</v>
      </c>
      <c r="I21" s="6">
        <v>5</v>
      </c>
      <c r="J21" s="6">
        <v>7</v>
      </c>
      <c r="K21" s="6">
        <v>7</v>
      </c>
      <c r="L21" s="6">
        <v>9</v>
      </c>
      <c r="M21" s="6">
        <v>9</v>
      </c>
      <c r="N21" s="6">
        <v>5</v>
      </c>
      <c r="O21" s="6">
        <v>10</v>
      </c>
      <c r="P21" s="6">
        <v>10</v>
      </c>
      <c r="Q21" s="6">
        <v>8</v>
      </c>
      <c r="R21" s="6">
        <v>8</v>
      </c>
      <c r="S21" s="6">
        <v>8</v>
      </c>
      <c r="T21" s="6">
        <v>9</v>
      </c>
      <c r="U21" s="6">
        <f>SUM(C21:T21)</f>
        <v>140</v>
      </c>
      <c r="V21" s="7"/>
    </row>
    <row r="22" spans="1:22" ht="15.75" x14ac:dyDescent="0.25">
      <c r="A22" s="3" t="str">
        <f>_xlfn.CONCAT(A20," Stableford Points")</f>
        <v>Pete Friesen Stableford Points</v>
      </c>
      <c r="B22" s="3"/>
      <c r="C22" s="6" cm="1">
        <f t="array" ref="C22">IF(ISBLANK(C21),"",VLOOKUP(C21-IF(INDEX(PlayerGender,SUMPRODUCT((PlayerPlayerNo=VALUE(RIGHT($A19,1)))*ROW(PlayerGender))-1)="M",INDEX(HoleParM,C$3,0),INDEX(HoleParF,C$3,0)),Stableford_Points,2))</f>
        <v>0</v>
      </c>
      <c r="D22" s="6" cm="1">
        <f t="array" ref="D22">IF(ISBLANK(D21),"",VLOOKUP(D21-IF(INDEX(PlayerGender,SUMPRODUCT((PlayerPlayerNo=VALUE(RIGHT($A19,1)))*ROW(PlayerGender))-1)="M",INDEX(HoleParM,D$3,0),INDEX(HoleParF,D$3,0)),Stableford_Points,2))</f>
        <v>0</v>
      </c>
      <c r="E22" s="6" cm="1">
        <f t="array" ref="E22">IF(ISBLANK(E21),"",VLOOKUP(E21-IF(INDEX(PlayerGender,SUMPRODUCT((PlayerPlayerNo=VALUE(RIGHT($A19,1)))*ROW(PlayerGender))-1)="M",INDEX(HoleParM,E$3,0),INDEX(HoleParF,E$3,0)),Stableford_Points,2))</f>
        <v>0</v>
      </c>
      <c r="F22" s="6" cm="1">
        <f t="array" ref="F22">IF(ISBLANK(F21),"",VLOOKUP(F21-IF(INDEX(PlayerGender,SUMPRODUCT((PlayerPlayerNo=VALUE(RIGHT($A19,1)))*ROW(PlayerGender))-1)="M",INDEX(HoleParM,F$3,0),INDEX(HoleParF,F$3,0)),Stableford_Points,2))</f>
        <v>0</v>
      </c>
      <c r="G22" s="6" cm="1">
        <f t="array" ref="G22">IF(ISBLANK(G21),"",VLOOKUP(G21-IF(INDEX(PlayerGender,SUMPRODUCT((PlayerPlayerNo=VALUE(RIGHT($A19,1)))*ROW(PlayerGender))-1)="M",INDEX(HoleParM,G$3,0),INDEX(HoleParF,G$3,0)),Stableford_Points,2))</f>
        <v>0</v>
      </c>
      <c r="H22" s="6" cm="1">
        <f t="array" ref="H22">IF(ISBLANK(H21),"",VLOOKUP(H21-IF(INDEX(PlayerGender,SUMPRODUCT((PlayerPlayerNo=VALUE(RIGHT($A19,1)))*ROW(PlayerGender))-1)="M",INDEX(HoleParM,H$3,0),INDEX(HoleParF,H$3,0)),Stableford_Points,2))</f>
        <v>2</v>
      </c>
      <c r="I22" s="6" cm="1">
        <f t="array" ref="I22">IF(ISBLANK(I21),"",VLOOKUP(I21-IF(INDEX(PlayerGender,SUMPRODUCT((PlayerPlayerNo=VALUE(RIGHT($A19,1)))*ROW(PlayerGender))-1)="M",INDEX(HoleParM,I$3,0),INDEX(HoleParF,I$3,0)),Stableford_Points,2))</f>
        <v>1</v>
      </c>
      <c r="J22" s="6" cm="1">
        <f t="array" ref="J22">IF(ISBLANK(J21),"",VLOOKUP(J21-IF(INDEX(PlayerGender,SUMPRODUCT((PlayerPlayerNo=VALUE(RIGHT($A19,1)))*ROW(PlayerGender))-1)="M",INDEX(HoleParM,J$3,0),INDEX(HoleParF,J$3,0)),Stableford_Points,2))</f>
        <v>0</v>
      </c>
      <c r="K22" s="6" cm="1">
        <f t="array" ref="K22">IF(ISBLANK(K21),"",VLOOKUP(K21-IF(INDEX(PlayerGender,SUMPRODUCT((PlayerPlayerNo=VALUE(RIGHT($A19,1)))*ROW(PlayerGender))-1)="M",INDEX(HoleParM,K$3,0),INDEX(HoleParF,K$3,0)),Stableford_Points,2))</f>
        <v>0</v>
      </c>
      <c r="L22" s="6" cm="1">
        <f t="array" ref="L22">IF(ISBLANK(L21),"",VLOOKUP(L21-IF(INDEX(PlayerGender,SUMPRODUCT((PlayerPlayerNo=VALUE(RIGHT($A19,1)))*ROW(PlayerGender))-1)="M",INDEX(HoleParM,L$3,0),INDEX(HoleParF,L$3,0)),Stableford_Points,2))</f>
        <v>0</v>
      </c>
      <c r="M22" s="6" cm="1">
        <f t="array" ref="M22">IF(ISBLANK(M21),"",VLOOKUP(M21-IF(INDEX(PlayerGender,SUMPRODUCT((PlayerPlayerNo=VALUE(RIGHT($A19,1)))*ROW(PlayerGender))-1)="M",INDEX(HoleParM,M$3,0),INDEX(HoleParF,M$3,0)),Stableford_Points,2))</f>
        <v>0</v>
      </c>
      <c r="N22" s="6" cm="1">
        <f t="array" ref="N22">IF(ISBLANK(N21),"",VLOOKUP(N21-IF(INDEX(PlayerGender,SUMPRODUCT((PlayerPlayerNo=VALUE(RIGHT($A19,1)))*ROW(PlayerGender))-1)="M",INDEX(HoleParM,N$3,0),INDEX(HoleParF,N$3,0)),Stableford_Points,2))</f>
        <v>0</v>
      </c>
      <c r="O22" s="6" cm="1">
        <f t="array" ref="O22">IF(ISBLANK(O21),"",VLOOKUP(O21-IF(INDEX(PlayerGender,SUMPRODUCT((PlayerPlayerNo=VALUE(RIGHT($A19,1)))*ROW(PlayerGender))-1)="M",INDEX(HoleParM,O$3,0),INDEX(HoleParF,O$3,0)),Stableford_Points,2))</f>
        <v>0</v>
      </c>
      <c r="P22" s="6" cm="1">
        <f t="array" ref="P22">IF(ISBLANK(P21),"",VLOOKUP(P21-IF(INDEX(PlayerGender,SUMPRODUCT((PlayerPlayerNo=VALUE(RIGHT($A19,1)))*ROW(PlayerGender))-1)="M",INDEX(HoleParM,P$3,0),INDEX(HoleParF,P$3,0)),Stableford_Points,2))</f>
        <v>0</v>
      </c>
      <c r="Q22" s="6" cm="1">
        <f t="array" ref="Q22">IF(ISBLANK(Q21),"",VLOOKUP(Q21-IF(INDEX(PlayerGender,SUMPRODUCT((PlayerPlayerNo=VALUE(RIGHT($A19,1)))*ROW(PlayerGender))-1)="M",INDEX(HoleParM,Q$3,0),INDEX(HoleParF,Q$3,0)),Stableford_Points,2))</f>
        <v>0</v>
      </c>
      <c r="R22" s="6" cm="1">
        <f t="array" ref="R22">IF(ISBLANK(R21),"",VLOOKUP(R21-IF(INDEX(PlayerGender,SUMPRODUCT((PlayerPlayerNo=VALUE(RIGHT($A19,1)))*ROW(PlayerGender))-1)="M",INDEX(HoleParM,R$3,0),INDEX(HoleParF,R$3,0)),Stableford_Points,2))</f>
        <v>0</v>
      </c>
      <c r="S22" s="6" cm="1">
        <f t="array" ref="S22">IF(ISBLANK(S21),"",VLOOKUP(S21-IF(INDEX(PlayerGender,SUMPRODUCT((PlayerPlayerNo=VALUE(RIGHT($A19,1)))*ROW(PlayerGender))-1)="M",INDEX(HoleParM,S$3,0),INDEX(HoleParF,S$3,0)),Stableford_Points,2))</f>
        <v>0</v>
      </c>
      <c r="T22" s="6" cm="1">
        <f t="array" ref="T22">IF(ISBLANK(T21),"",VLOOKUP(T21-IF(INDEX(PlayerGender,SUMPRODUCT((PlayerPlayerNo=VALUE(RIGHT($A19,1)))*ROW(PlayerGender))-1)="M",INDEX(HoleParM,T$3,0),INDEX(HoleParF,T$3,0)),Stableford_Points,2))</f>
        <v>0</v>
      </c>
      <c r="U22" s="6">
        <f>SUM(C22:T22)</f>
        <v>3</v>
      </c>
      <c r="V22" s="6">
        <f>IF($U22=0,"",U22-F20)</f>
        <v>-4</v>
      </c>
    </row>
    <row r="23" spans="1:22" ht="15.75" x14ac:dyDescent="0.25">
      <c r="A23" s="3"/>
      <c r="B23" s="3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7"/>
    </row>
    <row r="24" spans="1:22" ht="31.5" x14ac:dyDescent="0.25">
      <c r="A24" s="3" t="s">
        <v>38</v>
      </c>
      <c r="B24" s="3" t="s">
        <v>42</v>
      </c>
      <c r="C24" s="3" t="s">
        <v>0</v>
      </c>
      <c r="D24" s="4" t="s">
        <v>31</v>
      </c>
      <c r="E24" s="3" t="s">
        <v>45</v>
      </c>
      <c r="F24" s="3" t="s">
        <v>43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7"/>
    </row>
    <row r="25" spans="1:22" ht="15.75" x14ac:dyDescent="0.25">
      <c r="A25" s="3" t="str" cm="1">
        <f t="array" ref="A25">INDEX(PlayerNames,SUMPRODUCT((PlayerPlayerNo=VALUE(RIGHT(A24,1)))*ROW(PlayerNames))-1)</f>
        <v>Marcus Fast</v>
      </c>
      <c r="B25" s="3" t="str" cm="1">
        <f t="array" ref="B25">INDEX(PlayerTees,SUMPRODUCT((PlayerPlayerNo=(VALUE(RIGHT($A24,1))))*ROW(PlayerNames))-1)</f>
        <v>Iron/Silver</v>
      </c>
      <c r="C25" s="3" cm="1">
        <f t="array" ref="C25">MIN(30,INDEX(PlayerHandicaps,SUMPRODUCT((PlayerPlayerNo=VALUE(RIGHT($A24,1)))*ROW(PlayerHandicaps))-1))</f>
        <v>30</v>
      </c>
      <c r="D25" s="3" cm="1">
        <f t="array" ref="D25">IF(C25="","",IF(C25=0,0,IF(INDEX(PlayerGender,SUMPRODUCT((PlayerPlayerNo=VALUE(RIGHT($A24,1)))*ROW(PlayerGender))-1)="M",ROUND(($C25*(HLOOKUP($B25,MensTees,2,FALSE)/113))+(HLOOKUP(B25,MensTees,3,FALSE)-HLOOKUP($B25,MensTees,4,FALSE)),0),ROUND(($C25*(HLOOKUP($B25,WomensTees,2,FALSE)/113))+(HLOOKUP($B25,WomensTees,3,FALSE)-HLOOKUP($B25,WomensTees,4,FALSE)),0))))</f>
        <v>29</v>
      </c>
      <c r="E25">
        <f>$D25*Handicap_Allowance</f>
        <v>29</v>
      </c>
      <c r="F25" s="3">
        <f>36-D25</f>
        <v>7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 t="s">
        <v>3</v>
      </c>
      <c r="V25" s="7"/>
    </row>
    <row r="26" spans="1:22" ht="15.75" x14ac:dyDescent="0.25">
      <c r="A26" s="3" t="str">
        <f>_xlfn.CONCAT(A25," Gross")</f>
        <v>Marcus Fast Gross</v>
      </c>
      <c r="B26" s="3"/>
      <c r="C26" s="6">
        <v>8</v>
      </c>
      <c r="D26" s="6">
        <v>10</v>
      </c>
      <c r="E26" s="6">
        <v>10</v>
      </c>
      <c r="F26" s="6">
        <v>8</v>
      </c>
      <c r="G26" s="6">
        <v>6</v>
      </c>
      <c r="H26" s="6">
        <v>6</v>
      </c>
      <c r="I26" s="6">
        <v>5</v>
      </c>
      <c r="J26" s="6">
        <v>5</v>
      </c>
      <c r="K26" s="6">
        <v>8</v>
      </c>
      <c r="L26" s="6">
        <v>8</v>
      </c>
      <c r="M26" s="6">
        <v>10</v>
      </c>
      <c r="N26" s="6">
        <v>8</v>
      </c>
      <c r="O26" s="6">
        <v>7</v>
      </c>
      <c r="P26" s="6">
        <v>8</v>
      </c>
      <c r="Q26" s="6">
        <v>8</v>
      </c>
      <c r="R26" s="6">
        <v>7</v>
      </c>
      <c r="S26" s="6">
        <v>8</v>
      </c>
      <c r="T26" s="6">
        <v>9</v>
      </c>
      <c r="U26" s="6">
        <f>SUM(C26:T26)</f>
        <v>139</v>
      </c>
      <c r="V26" s="7"/>
    </row>
    <row r="27" spans="1:22" ht="15.75" x14ac:dyDescent="0.25">
      <c r="A27" s="3" t="str">
        <f>_xlfn.CONCAT(A25," Stableford Points")</f>
        <v>Marcus Fast Stableford Points</v>
      </c>
      <c r="B27" s="3"/>
      <c r="C27" s="6" cm="1">
        <f t="array" ref="C27">IF(ISBLANK(C26),"",VLOOKUP(C26-IF(INDEX(PlayerGender,SUMPRODUCT((PlayerPlayerNo=VALUE(RIGHT($A24,1)))*ROW(PlayerGender))-1)="M",INDEX(HoleParM,C$3,0),INDEX(HoleParF,C$3,0)),Stableford_Points,2))</f>
        <v>0</v>
      </c>
      <c r="D27" s="6" cm="1">
        <f t="array" ref="D27">IF(ISBLANK(D26),"",VLOOKUP(D26-IF(INDEX(PlayerGender,SUMPRODUCT((PlayerPlayerNo=VALUE(RIGHT($A24,1)))*ROW(PlayerGender))-1)="M",INDEX(HoleParM,D$3,0),INDEX(HoleParF,D$3,0)),Stableford_Points,2))</f>
        <v>0</v>
      </c>
      <c r="E27" s="6" cm="1">
        <f t="array" ref="E27">IF(ISBLANK(E26),"",VLOOKUP(E26-IF(INDEX(PlayerGender,SUMPRODUCT((PlayerPlayerNo=VALUE(RIGHT($A24,1)))*ROW(PlayerGender))-1)="M",INDEX(HoleParM,E$3,0),INDEX(HoleParF,E$3,0)),Stableford_Points,2))</f>
        <v>0</v>
      </c>
      <c r="F27" s="6" cm="1">
        <f t="array" ref="F27">IF(ISBLANK(F26),"",VLOOKUP(F26-IF(INDEX(PlayerGender,SUMPRODUCT((PlayerPlayerNo=VALUE(RIGHT($A24,1)))*ROW(PlayerGender))-1)="M",INDEX(HoleParM,F$3,0),INDEX(HoleParF,F$3,0)),Stableford_Points,2))</f>
        <v>0</v>
      </c>
      <c r="G27" s="6" cm="1">
        <f t="array" ref="G27">IF(ISBLANK(G26),"",VLOOKUP(G26-IF(INDEX(PlayerGender,SUMPRODUCT((PlayerPlayerNo=VALUE(RIGHT($A24,1)))*ROW(PlayerGender))-1)="M",INDEX(HoleParM,G$3,0),INDEX(HoleParF,G$3,0)),Stableford_Points,2))</f>
        <v>1</v>
      </c>
      <c r="H27" s="6" cm="1">
        <f t="array" ref="H27">IF(ISBLANK(H26),"",VLOOKUP(H26-IF(INDEX(PlayerGender,SUMPRODUCT((PlayerPlayerNo=VALUE(RIGHT($A24,1)))*ROW(PlayerGender))-1)="M",INDEX(HoleParM,H$3,0),INDEX(HoleParF,H$3,0)),Stableford_Points,2))</f>
        <v>0</v>
      </c>
      <c r="I27" s="6" cm="1">
        <f t="array" ref="I27">IF(ISBLANK(I26),"",VLOOKUP(I26-IF(INDEX(PlayerGender,SUMPRODUCT((PlayerPlayerNo=VALUE(RIGHT($A24,1)))*ROW(PlayerGender))-1)="M",INDEX(HoleParM,I$3,0),INDEX(HoleParF,I$3,0)),Stableford_Points,2))</f>
        <v>1</v>
      </c>
      <c r="J27" s="6" cm="1">
        <f t="array" ref="J27">IF(ISBLANK(J26),"",VLOOKUP(J26-IF(INDEX(PlayerGender,SUMPRODUCT((PlayerPlayerNo=VALUE(RIGHT($A24,1)))*ROW(PlayerGender))-1)="M",INDEX(HoleParM,J$3,0),INDEX(HoleParF,J$3,0)),Stableford_Points,2))</f>
        <v>0</v>
      </c>
      <c r="K27" s="6" cm="1">
        <f t="array" ref="K27">IF(ISBLANK(K26),"",VLOOKUP(K26-IF(INDEX(PlayerGender,SUMPRODUCT((PlayerPlayerNo=VALUE(RIGHT($A24,1)))*ROW(PlayerGender))-1)="M",INDEX(HoleParM,K$3,0),INDEX(HoleParF,K$3,0)),Stableford_Points,2))</f>
        <v>0</v>
      </c>
      <c r="L27" s="6" cm="1">
        <f t="array" ref="L27">IF(ISBLANK(L26),"",VLOOKUP(L26-IF(INDEX(PlayerGender,SUMPRODUCT((PlayerPlayerNo=VALUE(RIGHT($A24,1)))*ROW(PlayerGender))-1)="M",INDEX(HoleParM,L$3,0),INDEX(HoleParF,L$3,0)),Stableford_Points,2))</f>
        <v>0</v>
      </c>
      <c r="M27" s="6" cm="1">
        <f t="array" ref="M27">IF(ISBLANK(M26),"",VLOOKUP(M26-IF(INDEX(PlayerGender,SUMPRODUCT((PlayerPlayerNo=VALUE(RIGHT($A24,1)))*ROW(PlayerGender))-1)="M",INDEX(HoleParM,M$3,0),INDEX(HoleParF,M$3,0)),Stableford_Points,2))</f>
        <v>0</v>
      </c>
      <c r="N27" s="6" cm="1">
        <f t="array" ref="N27">IF(ISBLANK(N26),"",VLOOKUP(N26-IF(INDEX(PlayerGender,SUMPRODUCT((PlayerPlayerNo=VALUE(RIGHT($A24,1)))*ROW(PlayerGender))-1)="M",INDEX(HoleParM,N$3,0),INDEX(HoleParF,N$3,0)),Stableford_Points,2))</f>
        <v>0</v>
      </c>
      <c r="O27" s="6" cm="1">
        <f t="array" ref="O27">IF(ISBLANK(O26),"",VLOOKUP(O26-IF(INDEX(PlayerGender,SUMPRODUCT((PlayerPlayerNo=VALUE(RIGHT($A24,1)))*ROW(PlayerGender))-1)="M",INDEX(HoleParM,O$3,0),INDEX(HoleParF,O$3,0)),Stableford_Points,2))</f>
        <v>0</v>
      </c>
      <c r="P27" s="6" cm="1">
        <f t="array" ref="P27">IF(ISBLANK(P26),"",VLOOKUP(P26-IF(INDEX(PlayerGender,SUMPRODUCT((PlayerPlayerNo=VALUE(RIGHT($A24,1)))*ROW(PlayerGender))-1)="M",INDEX(HoleParM,P$3,0),INDEX(HoleParF,P$3,0)),Stableford_Points,2))</f>
        <v>0</v>
      </c>
      <c r="Q27" s="6" cm="1">
        <f t="array" ref="Q27">IF(ISBLANK(Q26),"",VLOOKUP(Q26-IF(INDEX(PlayerGender,SUMPRODUCT((PlayerPlayerNo=VALUE(RIGHT($A24,1)))*ROW(PlayerGender))-1)="M",INDEX(HoleParM,Q$3,0),INDEX(HoleParF,Q$3,0)),Stableford_Points,2))</f>
        <v>0</v>
      </c>
      <c r="R27" s="6" cm="1">
        <f t="array" ref="R27">IF(ISBLANK(R26),"",VLOOKUP(R26-IF(INDEX(PlayerGender,SUMPRODUCT((PlayerPlayerNo=VALUE(RIGHT($A24,1)))*ROW(PlayerGender))-1)="M",INDEX(HoleParM,R$3,0),INDEX(HoleParF,R$3,0)),Stableford_Points,2))</f>
        <v>0</v>
      </c>
      <c r="S27" s="6" cm="1">
        <f t="array" ref="S27">IF(ISBLANK(S26),"",VLOOKUP(S26-IF(INDEX(PlayerGender,SUMPRODUCT((PlayerPlayerNo=VALUE(RIGHT($A24,1)))*ROW(PlayerGender))-1)="M",INDEX(HoleParM,S$3,0),INDEX(HoleParF,S$3,0)),Stableford_Points,2))</f>
        <v>0</v>
      </c>
      <c r="T27" s="6" cm="1">
        <f t="array" ref="T27">IF(ISBLANK(T26),"",VLOOKUP(T26-IF(INDEX(PlayerGender,SUMPRODUCT((PlayerPlayerNo=VALUE(RIGHT($A24,1)))*ROW(PlayerGender))-1)="M",INDEX(HoleParM,T$3,0),INDEX(HoleParF,T$3,0)),Stableford_Points,2))</f>
        <v>0</v>
      </c>
      <c r="U27" s="6">
        <f>SUM(C27:T27)</f>
        <v>2</v>
      </c>
      <c r="V27" s="6">
        <f>IF($U27=0,"",U27-F25)</f>
        <v>-5</v>
      </c>
    </row>
    <row r="28" spans="1:22" ht="15.75" x14ac:dyDescent="0.25">
      <c r="A28" s="3"/>
      <c r="B28" s="3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7"/>
    </row>
    <row r="29" spans="1:22" ht="31.5" x14ac:dyDescent="0.25">
      <c r="A29" s="3" t="s">
        <v>39</v>
      </c>
      <c r="B29" s="3" t="s">
        <v>42</v>
      </c>
      <c r="C29" s="3" t="s">
        <v>0</v>
      </c>
      <c r="D29" s="4" t="s">
        <v>31</v>
      </c>
      <c r="E29" s="3" t="s">
        <v>45</v>
      </c>
      <c r="F29" s="3" t="s">
        <v>43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7"/>
    </row>
    <row r="30" spans="1:22" ht="15.75" x14ac:dyDescent="0.25">
      <c r="A30" s="3" t="str" cm="1">
        <f t="array" ref="A30">INDEX(PlayerNames,SUMPRODUCT((PlayerPlayerNo=VALUE(RIGHT(A29,1)))*ROW(PlayerNames))-1)</f>
        <v>Vicki Hubbard</v>
      </c>
      <c r="B30" s="3" t="str" cm="1">
        <f t="array" ref="B30">INDEX(PlayerTees,SUMPRODUCT((PlayerPlayerNo=(VALUE(RIGHT($A29,1))))*ROW(PlayerNames))-1)</f>
        <v>Gold</v>
      </c>
      <c r="C30" s="3" cm="1">
        <f t="array" ref="C30">MIN(30,INDEX(PlayerHandicaps,SUMPRODUCT((PlayerPlayerNo=VALUE(RIGHT($A29,1)))*ROW(PlayerHandicaps))-1))</f>
        <v>26</v>
      </c>
      <c r="D30" s="3" cm="1">
        <f t="array" ref="D30">IF(C30="","",IF(C30=0,0,IF(INDEX(PlayerGender,SUMPRODUCT((PlayerPlayerNo=VALUE(RIGHT($A29,1)))*ROW(PlayerGender))-1)="M",ROUND(($C30*(HLOOKUP($B30,MensTees,2,FALSE)/113))+(HLOOKUP(B30,MensTees,3,FALSE)-HLOOKUP($B30,MensTees,4,FALSE)),0),ROUND(($C30*(HLOOKUP($B30,WomensTees,2,FALSE)/113))+(HLOOKUP($B30,WomensTees,3,FALSE)-HLOOKUP($B30,WomensTees,4,FALSE)),0))))</f>
        <v>26</v>
      </c>
      <c r="E30">
        <f>$D30*Handicap_Allowance</f>
        <v>26</v>
      </c>
      <c r="F30" s="3">
        <f>36-D30</f>
        <v>10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 t="s">
        <v>3</v>
      </c>
      <c r="V30" s="7"/>
    </row>
    <row r="31" spans="1:22" ht="15.75" x14ac:dyDescent="0.25">
      <c r="A31" s="3" t="str">
        <f>_xlfn.CONCAT(A30," Gross")</f>
        <v>Vicki Hubbard Gross</v>
      </c>
      <c r="B31" s="3"/>
      <c r="C31" s="6">
        <v>6</v>
      </c>
      <c r="D31" s="6">
        <v>8</v>
      </c>
      <c r="E31" s="6">
        <v>6</v>
      </c>
      <c r="F31" s="6">
        <v>5</v>
      </c>
      <c r="G31" s="6">
        <v>9</v>
      </c>
      <c r="H31" s="6">
        <v>3</v>
      </c>
      <c r="I31" s="6">
        <v>7</v>
      </c>
      <c r="J31" s="6">
        <v>6</v>
      </c>
      <c r="K31" s="6">
        <v>7</v>
      </c>
      <c r="L31" s="6">
        <v>5</v>
      </c>
      <c r="M31" s="6">
        <v>7</v>
      </c>
      <c r="N31" s="6">
        <v>4</v>
      </c>
      <c r="O31" s="6">
        <v>6</v>
      </c>
      <c r="P31" s="6">
        <v>8</v>
      </c>
      <c r="Q31" s="6">
        <v>5</v>
      </c>
      <c r="R31" s="6">
        <v>7</v>
      </c>
      <c r="S31" s="6">
        <v>7</v>
      </c>
      <c r="T31" s="6">
        <v>7</v>
      </c>
      <c r="U31" s="6">
        <f>SUM(C31:T31)</f>
        <v>113</v>
      </c>
      <c r="V31" s="7"/>
    </row>
    <row r="32" spans="1:22" ht="15.75" x14ac:dyDescent="0.25">
      <c r="A32" s="3" t="str">
        <f>_xlfn.CONCAT(A30," Stableford Points")</f>
        <v>Vicki Hubbard Stableford Points</v>
      </c>
      <c r="B32" s="3"/>
      <c r="C32" s="6" cm="1">
        <f t="array" ref="C32">IF(ISBLANK(C31),"",VLOOKUP(C31-IF(INDEX(PlayerGender,SUMPRODUCT((PlayerPlayerNo=VALUE(RIGHT($A29,1)))*ROW(PlayerGender))-1)="M",INDEX(HoleParM,C$3,0),INDEX(HoleParF,C$3,0)),Stableford_Points,2))</f>
        <v>0</v>
      </c>
      <c r="D32" s="6" cm="1">
        <f t="array" ref="D32">IF(ISBLANK(D31),"",VLOOKUP(D31-IF(INDEX(PlayerGender,SUMPRODUCT((PlayerPlayerNo=VALUE(RIGHT($A29,1)))*ROW(PlayerGender))-1)="M",INDEX(HoleParM,D$3,0),INDEX(HoleParF,D$3,0)),Stableford_Points,2))</f>
        <v>0</v>
      </c>
      <c r="E32" s="6" cm="1">
        <f t="array" ref="E32">IF(ISBLANK(E31),"",VLOOKUP(E31-IF(INDEX(PlayerGender,SUMPRODUCT((PlayerPlayerNo=VALUE(RIGHT($A29,1)))*ROW(PlayerGender))-1)="M",INDEX(HoleParM,E$3,0),INDEX(HoleParF,E$3,0)),Stableford_Points,2))</f>
        <v>0</v>
      </c>
      <c r="F32" s="6" cm="1">
        <f t="array" ref="F32">IF(ISBLANK(F31),"",VLOOKUP(F31-IF(INDEX(PlayerGender,SUMPRODUCT((PlayerPlayerNo=VALUE(RIGHT($A29,1)))*ROW(PlayerGender))-1)="M",INDEX(HoleParM,F$3,0),INDEX(HoleParF,F$3,0)),Stableford_Points,2))</f>
        <v>1</v>
      </c>
      <c r="G32" s="6" cm="1">
        <f t="array" ref="G32">IF(ISBLANK(G31),"",VLOOKUP(G31-IF(INDEX(PlayerGender,SUMPRODUCT((PlayerPlayerNo=VALUE(RIGHT($A29,1)))*ROW(PlayerGender))-1)="M",INDEX(HoleParM,G$3,0),INDEX(HoleParF,G$3,0)),Stableford_Points,2))</f>
        <v>0</v>
      </c>
      <c r="H32" s="6" cm="1">
        <f t="array" ref="H32">IF(ISBLANK(H31),"",VLOOKUP(H31-IF(INDEX(PlayerGender,SUMPRODUCT((PlayerPlayerNo=VALUE(RIGHT($A29,1)))*ROW(PlayerGender))-1)="M",INDEX(HoleParM,H$3,0),INDEX(HoleParF,H$3,0)),Stableford_Points,2))</f>
        <v>2</v>
      </c>
      <c r="I32" s="6" cm="1">
        <f t="array" ref="I32">IF(ISBLANK(I31),"",VLOOKUP(I31-IF(INDEX(PlayerGender,SUMPRODUCT((PlayerPlayerNo=VALUE(RIGHT($A29,1)))*ROW(PlayerGender))-1)="M",INDEX(HoleParM,I$3,0),INDEX(HoleParF,I$3,0)),Stableford_Points,2))</f>
        <v>0</v>
      </c>
      <c r="J32" s="6" cm="1">
        <f t="array" ref="J32">IF(ISBLANK(J31),"",VLOOKUP(J31-IF(INDEX(PlayerGender,SUMPRODUCT((PlayerPlayerNo=VALUE(RIGHT($A29,1)))*ROW(PlayerGender))-1)="M",INDEX(HoleParM,J$3,0),INDEX(HoleParF,J$3,0)),Stableford_Points,2))</f>
        <v>0</v>
      </c>
      <c r="K32" s="6" cm="1">
        <f t="array" ref="K32">IF(ISBLANK(K31),"",VLOOKUP(K31-IF(INDEX(PlayerGender,SUMPRODUCT((PlayerPlayerNo=VALUE(RIGHT($A29,1)))*ROW(PlayerGender))-1)="M",INDEX(HoleParM,K$3,0),INDEX(HoleParF,K$3,0)),Stableford_Points,2))</f>
        <v>0</v>
      </c>
      <c r="L32" s="6" cm="1">
        <f t="array" ref="L32">IF(ISBLANK(L31),"",VLOOKUP(L31-IF(INDEX(PlayerGender,SUMPRODUCT((PlayerPlayerNo=VALUE(RIGHT($A29,1)))*ROW(PlayerGender))-1)="M",INDEX(HoleParM,L$3,0),INDEX(HoleParF,L$3,0)),Stableford_Points,2))</f>
        <v>1</v>
      </c>
      <c r="M32" s="6" cm="1">
        <f t="array" ref="M32">IF(ISBLANK(M31),"",VLOOKUP(M31-IF(INDEX(PlayerGender,SUMPRODUCT((PlayerPlayerNo=VALUE(RIGHT($A29,1)))*ROW(PlayerGender))-1)="M",INDEX(HoleParM,M$3,0),INDEX(HoleParF,M$3,0)),Stableford_Points,2))</f>
        <v>0</v>
      </c>
      <c r="N32" s="6" cm="1">
        <f t="array" ref="N32">IF(ISBLANK(N31),"",VLOOKUP(N31-IF(INDEX(PlayerGender,SUMPRODUCT((PlayerPlayerNo=VALUE(RIGHT($A29,1)))*ROW(PlayerGender))-1)="M",INDEX(HoleParM,N$3,0),INDEX(HoleParF,N$3,0)),Stableford_Points,2))</f>
        <v>1</v>
      </c>
      <c r="O32" s="6" cm="1">
        <f t="array" ref="O32">IF(ISBLANK(O31),"",VLOOKUP(O31-IF(INDEX(PlayerGender,SUMPRODUCT((PlayerPlayerNo=VALUE(RIGHT($A29,1)))*ROW(PlayerGender))-1)="M",INDEX(HoleParM,O$3,0),INDEX(HoleParF,O$3,0)),Stableford_Points,2))</f>
        <v>0</v>
      </c>
      <c r="P32" s="6" cm="1">
        <f t="array" ref="P32">IF(ISBLANK(P31),"",VLOOKUP(P31-IF(INDEX(PlayerGender,SUMPRODUCT((PlayerPlayerNo=VALUE(RIGHT($A29,1)))*ROW(PlayerGender))-1)="M",INDEX(HoleParM,P$3,0),INDEX(HoleParF,P$3,0)),Stableford_Points,2))</f>
        <v>0</v>
      </c>
      <c r="Q32" s="6" cm="1">
        <f t="array" ref="Q32">IF(ISBLANK(Q31),"",VLOOKUP(Q31-IF(INDEX(PlayerGender,SUMPRODUCT((PlayerPlayerNo=VALUE(RIGHT($A29,1)))*ROW(PlayerGender))-1)="M",INDEX(HoleParM,Q$3,0),INDEX(HoleParF,Q$3,0)),Stableford_Points,2))</f>
        <v>0</v>
      </c>
      <c r="R32" s="6" cm="1">
        <f t="array" ref="R32">IF(ISBLANK(R31),"",VLOOKUP(R31-IF(INDEX(PlayerGender,SUMPRODUCT((PlayerPlayerNo=VALUE(RIGHT($A29,1)))*ROW(PlayerGender))-1)="M",INDEX(HoleParM,R$3,0),INDEX(HoleParF,R$3,0)),Stableford_Points,2))</f>
        <v>0</v>
      </c>
      <c r="S32" s="6" cm="1">
        <f t="array" ref="S32">IF(ISBLANK(S31),"",VLOOKUP(S31-IF(INDEX(PlayerGender,SUMPRODUCT((PlayerPlayerNo=VALUE(RIGHT($A29,1)))*ROW(PlayerGender))-1)="M",INDEX(HoleParM,S$3,0),INDEX(HoleParF,S$3,0)),Stableford_Points,2))</f>
        <v>0</v>
      </c>
      <c r="T32" s="6" cm="1">
        <f t="array" ref="T32">IF(ISBLANK(T31),"",VLOOKUP(T31-IF(INDEX(PlayerGender,SUMPRODUCT((PlayerPlayerNo=VALUE(RIGHT($A29,1)))*ROW(PlayerGender))-1)="M",INDEX(HoleParM,T$3,0),INDEX(HoleParF,T$3,0)),Stableford_Points,2))</f>
        <v>0</v>
      </c>
      <c r="U32" s="6">
        <f>SUM(C32:T32)</f>
        <v>5</v>
      </c>
      <c r="V32" s="6">
        <f>IF($U32=0,"",U32-F30)</f>
        <v>-5</v>
      </c>
    </row>
    <row r="33" spans="1:22" ht="15.75" x14ac:dyDescent="0.25">
      <c r="A33" s="3"/>
      <c r="B33" s="3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7"/>
    </row>
    <row r="34" spans="1:22" ht="31.5" x14ac:dyDescent="0.25">
      <c r="A34" s="3" t="s">
        <v>44</v>
      </c>
      <c r="B34" s="3" t="s">
        <v>42</v>
      </c>
      <c r="C34" s="3" t="s">
        <v>0</v>
      </c>
      <c r="D34" s="4" t="s">
        <v>31</v>
      </c>
      <c r="E34" s="3" t="s">
        <v>45</v>
      </c>
      <c r="F34" s="3" t="s">
        <v>43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7"/>
    </row>
    <row r="35" spans="1:22" ht="15.75" x14ac:dyDescent="0.25">
      <c r="A35" s="3" t="str" cm="1">
        <f t="array" ref="A35">INDEX(PlayerNames,SUMPRODUCT((PlayerPlayerNo=VALUE(RIGHT(A34,1)))*ROW(PlayerNames))-1)</f>
        <v>Travis Hubbard</v>
      </c>
      <c r="B35" s="3" t="str" cm="1">
        <f t="array" ref="B35">INDEX(PlayerTees,SUMPRODUCT((PlayerPlayerNo=(VALUE(RIGHT($A34,1))))*ROW(PlayerNames))-1)</f>
        <v>Iron/Silver</v>
      </c>
      <c r="C35" s="3" cm="1">
        <f t="array" ref="C35">MIN(30,INDEX(PlayerHandicaps,SUMPRODUCT((PlayerPlayerNo=VALUE(RIGHT($A34,1)))*ROW(PlayerHandicaps))-1))</f>
        <v>27.1</v>
      </c>
      <c r="D35" s="3" cm="1">
        <f t="array" ref="D35">IF(C35="","",IF(C35=0,0,IF(INDEX(PlayerGender,SUMPRODUCT((PlayerPlayerNo=VALUE(RIGHT($A34,1)))*ROW(PlayerGender))-1)="M",ROUND(($C35*(HLOOKUP($B35,MensTees,2,FALSE)/113))+(HLOOKUP(B35,MensTees,3,FALSE)-HLOOKUP($B35,MensTees,4,FALSE)),0),ROUND(($C35*(HLOOKUP($B35,WomensTees,2,FALSE)/113))+(HLOOKUP($B35,WomensTees,3,FALSE)-HLOOKUP($B35,WomensTees,4,FALSE)),0))))</f>
        <v>26</v>
      </c>
      <c r="E35">
        <f>$D35*Handicap_Allowance</f>
        <v>26</v>
      </c>
      <c r="F35" s="3">
        <f>36-D35</f>
        <v>10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 t="s">
        <v>3</v>
      </c>
      <c r="V35" s="7"/>
    </row>
    <row r="36" spans="1:22" ht="15.75" x14ac:dyDescent="0.25">
      <c r="A36" s="3" t="str">
        <f>_xlfn.CONCAT(A35," Gross")</f>
        <v>Travis Hubbard Gross</v>
      </c>
      <c r="B36" s="3"/>
      <c r="C36" s="6">
        <v>5</v>
      </c>
      <c r="D36" s="6">
        <v>6</v>
      </c>
      <c r="E36" s="6">
        <v>6</v>
      </c>
      <c r="F36" s="6">
        <v>8</v>
      </c>
      <c r="G36" s="6">
        <v>8</v>
      </c>
      <c r="H36" s="6">
        <v>4</v>
      </c>
      <c r="I36" s="6">
        <v>6</v>
      </c>
      <c r="J36" s="6">
        <v>3</v>
      </c>
      <c r="K36" s="6">
        <v>6</v>
      </c>
      <c r="L36" s="6">
        <v>5</v>
      </c>
      <c r="M36" s="6">
        <v>7</v>
      </c>
      <c r="N36" s="6">
        <v>5</v>
      </c>
      <c r="O36" s="6">
        <v>7</v>
      </c>
      <c r="P36" s="6">
        <v>5</v>
      </c>
      <c r="Q36" s="6">
        <v>5</v>
      </c>
      <c r="R36" s="6">
        <v>7</v>
      </c>
      <c r="S36" s="6">
        <v>7</v>
      </c>
      <c r="T36" s="6">
        <v>7</v>
      </c>
      <c r="U36" s="6">
        <f>SUM(C36:T36)</f>
        <v>107</v>
      </c>
      <c r="V36" s="7"/>
    </row>
    <row r="37" spans="1:22" ht="15.75" x14ac:dyDescent="0.25">
      <c r="A37" s="3" t="str">
        <f>_xlfn.CONCAT(A35," Stableford Points")</f>
        <v>Travis Hubbard Stableford Points</v>
      </c>
      <c r="B37" s="3"/>
      <c r="C37" s="6" cm="1">
        <f t="array" ref="C37">IF(ISBLANK(C36),"",VLOOKUP(C36-IF(INDEX(PlayerGender,SUMPRODUCT((PlayerPlayerNo=VALUE(RIGHT($A34,1)))*ROW(PlayerGender))-1)="M",INDEX(HoleParM,C$3,0),INDEX(HoleParF,C$3,0)),Stableford_Points,2))</f>
        <v>1</v>
      </c>
      <c r="D37" s="6" cm="1">
        <f t="array" ref="D37">IF(ISBLANK(D36),"",VLOOKUP(D36-IF(INDEX(PlayerGender,SUMPRODUCT((PlayerPlayerNo=VALUE(RIGHT($A34,1)))*ROW(PlayerGender))-1)="M",INDEX(HoleParM,D$3,0),INDEX(HoleParF,D$3,0)),Stableford_Points,2))</f>
        <v>1</v>
      </c>
      <c r="E37" s="6" cm="1">
        <f t="array" ref="E37">IF(ISBLANK(E36),"",VLOOKUP(E36-IF(INDEX(PlayerGender,SUMPRODUCT((PlayerPlayerNo=VALUE(RIGHT($A34,1)))*ROW(PlayerGender))-1)="M",INDEX(HoleParM,E$3,0),INDEX(HoleParF,E$3,0)),Stableford_Points,2))</f>
        <v>0</v>
      </c>
      <c r="F37" s="6" cm="1">
        <f t="array" ref="F37">IF(ISBLANK(F36),"",VLOOKUP(F36-IF(INDEX(PlayerGender,SUMPRODUCT((PlayerPlayerNo=VALUE(RIGHT($A34,1)))*ROW(PlayerGender))-1)="M",INDEX(HoleParM,F$3,0),INDEX(HoleParF,F$3,0)),Stableford_Points,2))</f>
        <v>0</v>
      </c>
      <c r="G37" s="6" cm="1">
        <f t="array" ref="G37">IF(ISBLANK(G36),"",VLOOKUP(G36-IF(INDEX(PlayerGender,SUMPRODUCT((PlayerPlayerNo=VALUE(RIGHT($A34,1)))*ROW(PlayerGender))-1)="M",INDEX(HoleParM,G$3,0),INDEX(HoleParF,G$3,0)),Stableford_Points,2))</f>
        <v>0</v>
      </c>
      <c r="H37" s="6" cm="1">
        <f t="array" ref="H37">IF(ISBLANK(H36),"",VLOOKUP(H36-IF(INDEX(PlayerGender,SUMPRODUCT((PlayerPlayerNo=VALUE(RIGHT($A34,1)))*ROW(PlayerGender))-1)="M",INDEX(HoleParM,H$3,0),INDEX(HoleParF,H$3,0)),Stableford_Points,2))</f>
        <v>1</v>
      </c>
      <c r="I37" s="6" cm="1">
        <f t="array" ref="I37">IF(ISBLANK(I36),"",VLOOKUP(I36-IF(INDEX(PlayerGender,SUMPRODUCT((PlayerPlayerNo=VALUE(RIGHT($A34,1)))*ROW(PlayerGender))-1)="M",INDEX(HoleParM,I$3,0),INDEX(HoleParF,I$3,0)),Stableford_Points,2))</f>
        <v>0</v>
      </c>
      <c r="J37" s="6" cm="1">
        <f t="array" ref="J37">IF(ISBLANK(J36),"",VLOOKUP(J36-IF(INDEX(PlayerGender,SUMPRODUCT((PlayerPlayerNo=VALUE(RIGHT($A34,1)))*ROW(PlayerGender))-1)="M",INDEX(HoleParM,J$3,0),INDEX(HoleParF,J$3,0)),Stableford_Points,2))</f>
        <v>2</v>
      </c>
      <c r="K37" s="6" cm="1">
        <f t="array" ref="K37">IF(ISBLANK(K36),"",VLOOKUP(K36-IF(INDEX(PlayerGender,SUMPRODUCT((PlayerPlayerNo=VALUE(RIGHT($A34,1)))*ROW(PlayerGender))-1)="M",INDEX(HoleParM,K$3,0),INDEX(HoleParF,K$3,0)),Stableford_Points,2))</f>
        <v>0</v>
      </c>
      <c r="L37" s="6" cm="1">
        <f t="array" ref="L37">IF(ISBLANK(L36),"",VLOOKUP(L36-IF(INDEX(PlayerGender,SUMPRODUCT((PlayerPlayerNo=VALUE(RIGHT($A34,1)))*ROW(PlayerGender))-1)="M",INDEX(HoleParM,L$3,0),INDEX(HoleParF,L$3,0)),Stableford_Points,2))</f>
        <v>1</v>
      </c>
      <c r="M37" s="6" cm="1">
        <f t="array" ref="M37">IF(ISBLANK(M36),"",VLOOKUP(M36-IF(INDEX(PlayerGender,SUMPRODUCT((PlayerPlayerNo=VALUE(RIGHT($A34,1)))*ROW(PlayerGender))-1)="M",INDEX(HoleParM,M$3,0),INDEX(HoleParF,M$3,0)),Stableford_Points,2))</f>
        <v>0</v>
      </c>
      <c r="N37" s="6" cm="1">
        <f t="array" ref="N37">IF(ISBLANK(N36),"",VLOOKUP(N36-IF(INDEX(PlayerGender,SUMPRODUCT((PlayerPlayerNo=VALUE(RIGHT($A34,1)))*ROW(PlayerGender))-1)="M",INDEX(HoleParM,N$3,0),INDEX(HoleParF,N$3,0)),Stableford_Points,2))</f>
        <v>0</v>
      </c>
      <c r="O37" s="6" cm="1">
        <f t="array" ref="O37">IF(ISBLANK(O36),"",VLOOKUP(O36-IF(INDEX(PlayerGender,SUMPRODUCT((PlayerPlayerNo=VALUE(RIGHT($A34,1)))*ROW(PlayerGender))-1)="M",INDEX(HoleParM,O$3,0),INDEX(HoleParF,O$3,0)),Stableford_Points,2))</f>
        <v>0</v>
      </c>
      <c r="P37" s="6" cm="1">
        <f t="array" ref="P37">IF(ISBLANK(P36),"",VLOOKUP(P36-IF(INDEX(PlayerGender,SUMPRODUCT((PlayerPlayerNo=VALUE(RIGHT($A34,1)))*ROW(PlayerGender))-1)="M",INDEX(HoleParM,P$3,0),INDEX(HoleParF,P$3,0)),Stableford_Points,2))</f>
        <v>2</v>
      </c>
      <c r="Q37" s="6" cm="1">
        <f t="array" ref="Q37">IF(ISBLANK(Q36),"",VLOOKUP(Q36-IF(INDEX(PlayerGender,SUMPRODUCT((PlayerPlayerNo=VALUE(RIGHT($A34,1)))*ROW(PlayerGender))-1)="M",INDEX(HoleParM,Q$3,0),INDEX(HoleParF,Q$3,0)),Stableford_Points,2))</f>
        <v>0</v>
      </c>
      <c r="R37" s="6" cm="1">
        <f t="array" ref="R37">IF(ISBLANK(R36),"",VLOOKUP(R36-IF(INDEX(PlayerGender,SUMPRODUCT((PlayerPlayerNo=VALUE(RIGHT($A34,1)))*ROW(PlayerGender))-1)="M",INDEX(HoleParM,R$3,0),INDEX(HoleParF,R$3,0)),Stableford_Points,2))</f>
        <v>0</v>
      </c>
      <c r="S37" s="6" cm="1">
        <f t="array" ref="S37">IF(ISBLANK(S36),"",VLOOKUP(S36-IF(INDEX(PlayerGender,SUMPRODUCT((PlayerPlayerNo=VALUE(RIGHT($A34,1)))*ROW(PlayerGender))-1)="M",INDEX(HoleParM,S$3,0),INDEX(HoleParF,S$3,0)),Stableford_Points,2))</f>
        <v>0</v>
      </c>
      <c r="T37" s="6" cm="1">
        <f t="array" ref="T37">IF(ISBLANK(T36),"",VLOOKUP(T36-IF(INDEX(PlayerGender,SUMPRODUCT((PlayerPlayerNo=VALUE(RIGHT($A34,1)))*ROW(PlayerGender))-1)="M",INDEX(HoleParM,T$3,0),INDEX(HoleParF,T$3,0)),Stableford_Points,2))</f>
        <v>0</v>
      </c>
      <c r="U37" s="6">
        <f>SUM(C37:T37)</f>
        <v>8</v>
      </c>
      <c r="V37" s="6">
        <f>IF($U37=0,"",U37-F35)</f>
        <v>-2</v>
      </c>
    </row>
    <row r="38" spans="1:22" ht="15.75" x14ac:dyDescent="0.25">
      <c r="A38" s="3"/>
      <c r="B38" s="3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7"/>
    </row>
    <row r="39" spans="1:22" ht="31.5" x14ac:dyDescent="0.25">
      <c r="A39" s="3" t="s">
        <v>60</v>
      </c>
      <c r="B39" s="3" t="s">
        <v>42</v>
      </c>
      <c r="C39" s="3" t="s">
        <v>0</v>
      </c>
      <c r="D39" s="4" t="s">
        <v>31</v>
      </c>
      <c r="E39" s="3" t="s">
        <v>45</v>
      </c>
      <c r="F39" s="3" t="s">
        <v>43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7"/>
    </row>
    <row r="40" spans="1:22" ht="15.75" x14ac:dyDescent="0.25">
      <c r="A40" s="3" t="str" cm="1">
        <f t="array" ref="A40">INDEX(PlayerNames,SUMPRODUCT((PlayerPlayerNo=VALUE(RIGHT(A39,1)))*ROW(PlayerNames))-1)</f>
        <v>Scott O'Hare</v>
      </c>
      <c r="B40" s="3" t="str" cm="1">
        <f t="array" ref="B40">INDEX(PlayerTees,SUMPRODUCT((PlayerPlayerNo=(VALUE(RIGHT($A39,1))))*ROW(PlayerNames))-1)</f>
        <v>Iron</v>
      </c>
      <c r="C40" s="3" cm="1">
        <f t="array" ref="C40">MIN(30,INDEX(PlayerHandicaps,SUMPRODUCT((PlayerPlayerNo=VALUE(RIGHT($A39,1)))*ROW(PlayerHandicaps))-1))</f>
        <v>12.7</v>
      </c>
      <c r="D40" s="3" cm="1">
        <f t="array" ref="D40">IF(C40="","",IF(C40=0,0,IF(INDEX(PlayerGender,SUMPRODUCT((PlayerPlayerNo=VALUE(RIGHT($A39,1)))*ROW(PlayerGender))-1)="M",ROUND(($C40*(HLOOKUP($B40,MensTees,2,FALSE)/113))+(HLOOKUP(B40,MensTees,3,FALSE)-HLOOKUP($B40,MensTees,4,FALSE)),0),ROUND(($C40*(HLOOKUP($B40,WomensTees,2,FALSE)/113))+(HLOOKUP($B40,WomensTees,3,FALSE)-HLOOKUP($B40,WomensTees,4,FALSE)),0))))</f>
        <v>12</v>
      </c>
      <c r="E40">
        <f>$D40*Handicap_Allowance</f>
        <v>12</v>
      </c>
      <c r="F40" s="3">
        <f>36-D40</f>
        <v>24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 t="s">
        <v>3</v>
      </c>
      <c r="V40" s="7"/>
    </row>
    <row r="41" spans="1:22" ht="15.75" x14ac:dyDescent="0.25">
      <c r="A41" s="3" t="str">
        <f>_xlfn.CONCAT(A40," Gross")</f>
        <v>Scott O'Hare Gross</v>
      </c>
      <c r="B41" s="3"/>
      <c r="C41" s="6">
        <v>5</v>
      </c>
      <c r="D41" s="6">
        <v>6</v>
      </c>
      <c r="E41" s="6">
        <v>4</v>
      </c>
      <c r="F41" s="6">
        <v>5</v>
      </c>
      <c r="G41" s="6">
        <v>6</v>
      </c>
      <c r="H41" s="6">
        <v>5</v>
      </c>
      <c r="I41" s="6">
        <v>4</v>
      </c>
      <c r="J41" s="6">
        <v>5</v>
      </c>
      <c r="K41" s="6">
        <v>5</v>
      </c>
      <c r="L41" s="6">
        <v>5</v>
      </c>
      <c r="M41" s="6">
        <v>4</v>
      </c>
      <c r="N41" s="6">
        <v>3</v>
      </c>
      <c r="O41" s="6">
        <v>5</v>
      </c>
      <c r="P41" s="6">
        <v>5</v>
      </c>
      <c r="Q41" s="6">
        <v>4</v>
      </c>
      <c r="R41" s="6">
        <v>5</v>
      </c>
      <c r="S41" s="6">
        <v>5</v>
      </c>
      <c r="T41" s="6">
        <v>6</v>
      </c>
      <c r="U41" s="6">
        <f>SUM(C41:T41)</f>
        <v>87</v>
      </c>
      <c r="V41" s="7"/>
    </row>
    <row r="42" spans="1:22" ht="15.75" x14ac:dyDescent="0.25">
      <c r="A42" s="3" t="str">
        <f>_xlfn.CONCAT(A40," Stableford Points")</f>
        <v>Scott O'Hare Stableford Points</v>
      </c>
      <c r="B42" s="3"/>
      <c r="C42" s="6" cm="1">
        <f t="array" ref="C42">IF(ISBLANK(C41),"",VLOOKUP(C41-IF(INDEX(PlayerGender,SUMPRODUCT((PlayerPlayerNo=VALUE(RIGHT($A39,1)))*ROW(PlayerGender))-1)="M",INDEX(HoleParM,C$3,0),INDEX(HoleParF,C$3,0)),Stableford_Points,2))</f>
        <v>1</v>
      </c>
      <c r="D42" s="6" cm="1">
        <f t="array" ref="D42">IF(ISBLANK(D41),"",VLOOKUP(D41-IF(INDEX(PlayerGender,SUMPRODUCT((PlayerPlayerNo=VALUE(RIGHT($A39,1)))*ROW(PlayerGender))-1)="M",INDEX(HoleParM,D$3,0),INDEX(HoleParF,D$3,0)),Stableford_Points,2))</f>
        <v>1</v>
      </c>
      <c r="E42" s="6" cm="1">
        <f t="array" ref="E42">IF(ISBLANK(E41),"",VLOOKUP(E41-IF(INDEX(PlayerGender,SUMPRODUCT((PlayerPlayerNo=VALUE(RIGHT($A39,1)))*ROW(PlayerGender))-1)="M",INDEX(HoleParM,E$3,0),INDEX(HoleParF,E$3,0)),Stableford_Points,2))</f>
        <v>2</v>
      </c>
      <c r="F42" s="6" cm="1">
        <f t="array" ref="F42">IF(ISBLANK(F41),"",VLOOKUP(F41-IF(INDEX(PlayerGender,SUMPRODUCT((PlayerPlayerNo=VALUE(RIGHT($A39,1)))*ROW(PlayerGender))-1)="M",INDEX(HoleParM,F$3,0),INDEX(HoleParF,F$3,0)),Stableford_Points,2))</f>
        <v>1</v>
      </c>
      <c r="G42" s="6" cm="1">
        <f t="array" ref="G42">IF(ISBLANK(G41),"",VLOOKUP(G41-IF(INDEX(PlayerGender,SUMPRODUCT((PlayerPlayerNo=VALUE(RIGHT($A39,1)))*ROW(PlayerGender))-1)="M",INDEX(HoleParM,G$3,0),INDEX(HoleParF,G$3,0)),Stableford_Points,2))</f>
        <v>1</v>
      </c>
      <c r="H42" s="6" cm="1">
        <f t="array" ref="H42">IF(ISBLANK(H41),"",VLOOKUP(H41-IF(INDEX(PlayerGender,SUMPRODUCT((PlayerPlayerNo=VALUE(RIGHT($A39,1)))*ROW(PlayerGender))-1)="M",INDEX(HoleParM,H$3,0),INDEX(HoleParF,H$3,0)),Stableford_Points,2))</f>
        <v>0</v>
      </c>
      <c r="I42" s="6" cm="1">
        <f t="array" ref="I42">IF(ISBLANK(I41),"",VLOOKUP(I41-IF(INDEX(PlayerGender,SUMPRODUCT((PlayerPlayerNo=VALUE(RIGHT($A39,1)))*ROW(PlayerGender))-1)="M",INDEX(HoleParM,I$3,0),INDEX(HoleParF,I$3,0)),Stableford_Points,2))</f>
        <v>2</v>
      </c>
      <c r="J42" s="6" cm="1">
        <f t="array" ref="J42">IF(ISBLANK(J41),"",VLOOKUP(J41-IF(INDEX(PlayerGender,SUMPRODUCT((PlayerPlayerNo=VALUE(RIGHT($A39,1)))*ROW(PlayerGender))-1)="M",INDEX(HoleParM,J$3,0),INDEX(HoleParF,J$3,0)),Stableford_Points,2))</f>
        <v>0</v>
      </c>
      <c r="K42" s="6" cm="1">
        <f t="array" ref="K42">IF(ISBLANK(K41),"",VLOOKUP(K41-IF(INDEX(PlayerGender,SUMPRODUCT((PlayerPlayerNo=VALUE(RIGHT($A39,1)))*ROW(PlayerGender))-1)="M",INDEX(HoleParM,K$3,0),INDEX(HoleParF,K$3,0)),Stableford_Points,2))</f>
        <v>1</v>
      </c>
      <c r="L42" s="6" cm="1">
        <f t="array" ref="L42">IF(ISBLANK(L41),"",VLOOKUP(L41-IF(INDEX(PlayerGender,SUMPRODUCT((PlayerPlayerNo=VALUE(RIGHT($A39,1)))*ROW(PlayerGender))-1)="M",INDEX(HoleParM,L$3,0),INDEX(HoleParF,L$3,0)),Stableford_Points,2))</f>
        <v>1</v>
      </c>
      <c r="M42" s="6" cm="1">
        <f t="array" ref="M42">IF(ISBLANK(M41),"",VLOOKUP(M41-IF(INDEX(PlayerGender,SUMPRODUCT((PlayerPlayerNo=VALUE(RIGHT($A39,1)))*ROW(PlayerGender))-1)="M",INDEX(HoleParM,M$3,0),INDEX(HoleParF,M$3,0)),Stableford_Points,2))</f>
        <v>2</v>
      </c>
      <c r="N42" s="6" cm="1">
        <f t="array" ref="N42">IF(ISBLANK(N41),"",VLOOKUP(N41-IF(INDEX(PlayerGender,SUMPRODUCT((PlayerPlayerNo=VALUE(RIGHT($A39,1)))*ROW(PlayerGender))-1)="M",INDEX(HoleParM,N$3,0),INDEX(HoleParF,N$3,0)),Stableford_Points,2))</f>
        <v>2</v>
      </c>
      <c r="O42" s="6" cm="1">
        <f t="array" ref="O42">IF(ISBLANK(O41),"",VLOOKUP(O41-IF(INDEX(PlayerGender,SUMPRODUCT((PlayerPlayerNo=VALUE(RIGHT($A39,1)))*ROW(PlayerGender))-1)="M",INDEX(HoleParM,O$3,0),INDEX(HoleParF,O$3,0)),Stableford_Points,2))</f>
        <v>1</v>
      </c>
      <c r="P42" s="6" cm="1">
        <f t="array" ref="P42">IF(ISBLANK(P41),"",VLOOKUP(P41-IF(INDEX(PlayerGender,SUMPRODUCT((PlayerPlayerNo=VALUE(RIGHT($A39,1)))*ROW(PlayerGender))-1)="M",INDEX(HoleParM,P$3,0),INDEX(HoleParF,P$3,0)),Stableford_Points,2))</f>
        <v>2</v>
      </c>
      <c r="Q42" s="6" cm="1">
        <f t="array" ref="Q42">IF(ISBLANK(Q41),"",VLOOKUP(Q41-IF(INDEX(PlayerGender,SUMPRODUCT((PlayerPlayerNo=VALUE(RIGHT($A39,1)))*ROW(PlayerGender))-1)="M",INDEX(HoleParM,Q$3,0),INDEX(HoleParF,Q$3,0)),Stableford_Points,2))</f>
        <v>1</v>
      </c>
      <c r="R42" s="6" cm="1">
        <f t="array" ref="R42">IF(ISBLANK(R41),"",VLOOKUP(R41-IF(INDEX(PlayerGender,SUMPRODUCT((PlayerPlayerNo=VALUE(RIGHT($A39,1)))*ROW(PlayerGender))-1)="M",INDEX(HoleParM,R$3,0),INDEX(HoleParF,R$3,0)),Stableford_Points,2))</f>
        <v>1</v>
      </c>
      <c r="S42" s="6" cm="1">
        <f t="array" ref="S42">IF(ISBLANK(S41),"",VLOOKUP(S41-IF(INDEX(PlayerGender,SUMPRODUCT((PlayerPlayerNo=VALUE(RIGHT($A39,1)))*ROW(PlayerGender))-1)="M",INDEX(HoleParM,S$3,0),INDEX(HoleParF,S$3,0)),Stableford_Points,2))</f>
        <v>1</v>
      </c>
      <c r="T42" s="6" cm="1">
        <f t="array" ref="T42">IF(ISBLANK(T41),"",VLOOKUP(T41-IF(INDEX(PlayerGender,SUMPRODUCT((PlayerPlayerNo=VALUE(RIGHT($A39,1)))*ROW(PlayerGender))-1)="M",INDEX(HoleParM,T$3,0),INDEX(HoleParF,T$3,0)),Stableford_Points,2))</f>
        <v>1</v>
      </c>
      <c r="U42" s="6">
        <f>SUM(C42:T42)</f>
        <v>21</v>
      </c>
      <c r="V42" s="6">
        <f>IF($U42=0,"",U42-F40)</f>
        <v>-3</v>
      </c>
    </row>
    <row r="43" spans="1:22" ht="15.75" x14ac:dyDescent="0.25">
      <c r="A43" s="3"/>
      <c r="B43" s="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7"/>
    </row>
    <row r="44" spans="1:22" ht="31.5" x14ac:dyDescent="0.25">
      <c r="A44" s="3" t="s">
        <v>61</v>
      </c>
      <c r="B44" s="3" t="s">
        <v>42</v>
      </c>
      <c r="C44" s="3" t="s">
        <v>0</v>
      </c>
      <c r="D44" s="4" t="s">
        <v>31</v>
      </c>
      <c r="E44" s="3" t="s">
        <v>45</v>
      </c>
      <c r="F44" s="3" t="s">
        <v>43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7"/>
    </row>
    <row r="45" spans="1:22" ht="15.75" x14ac:dyDescent="0.25">
      <c r="A45" s="3" t="str" cm="1">
        <f t="array" ref="A45">INDEX(PlayerNames,SUMPRODUCT((PlayerPlayerNo=VALUE(RIGHT(A44,1)))*ROW(PlayerNames))-1)</f>
        <v>Chris Lundhagen</v>
      </c>
      <c r="B45" s="3" t="str" cm="1">
        <f t="array" ref="B45">INDEX(PlayerTees,SUMPRODUCT((PlayerPlayerNo=(VALUE(RIGHT($A44,1))))*ROW(PlayerNames))-1)</f>
        <v>Iron/Silver</v>
      </c>
      <c r="C45" s="3" cm="1">
        <f t="array" ref="C45">MIN(30,INDEX(PlayerHandicaps,SUMPRODUCT((PlayerPlayerNo=VALUE(RIGHT($A44,1)))*ROW(PlayerHandicaps))-1))</f>
        <v>28.7</v>
      </c>
      <c r="D45" s="3" cm="1">
        <f t="array" ref="D45">IF(C45="","",IF(C45=0,0,IF(INDEX(PlayerGender,SUMPRODUCT((PlayerPlayerNo=VALUE(RIGHT($A44,1)))*ROW(PlayerGender))-1)="M",ROUND(($C45*(HLOOKUP($B45,MensTees,2,FALSE)/113))+(HLOOKUP(B45,MensTees,3,FALSE)-HLOOKUP($B45,MensTees,4,FALSE)),0),ROUND(($C45*(HLOOKUP($B45,WomensTees,2,FALSE)/113))+(HLOOKUP($B45,WomensTees,3,FALSE)-HLOOKUP($B45,WomensTees,4,FALSE)),0))))</f>
        <v>27</v>
      </c>
      <c r="E45">
        <f>$D45*Handicap_Allowance</f>
        <v>27</v>
      </c>
      <c r="F45" s="3">
        <f>36-D45</f>
        <v>9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 t="s">
        <v>3</v>
      </c>
      <c r="V45" s="7"/>
    </row>
    <row r="46" spans="1:22" ht="15.75" x14ac:dyDescent="0.25">
      <c r="A46" s="3" t="str">
        <f>_xlfn.CONCAT(A45," Gross")</f>
        <v>Chris Lundhagen Gross</v>
      </c>
      <c r="B46" s="3"/>
      <c r="C46" s="6">
        <v>8</v>
      </c>
      <c r="D46" s="6">
        <v>7</v>
      </c>
      <c r="E46" s="6">
        <v>5</v>
      </c>
      <c r="F46" s="6">
        <v>5</v>
      </c>
      <c r="G46" s="6">
        <v>9</v>
      </c>
      <c r="H46" s="6">
        <v>4</v>
      </c>
      <c r="I46" s="6">
        <v>5</v>
      </c>
      <c r="J46" s="6">
        <v>5</v>
      </c>
      <c r="K46" s="6">
        <v>8</v>
      </c>
      <c r="L46" s="6">
        <v>4</v>
      </c>
      <c r="M46" s="6">
        <v>6</v>
      </c>
      <c r="N46" s="6">
        <v>2</v>
      </c>
      <c r="O46" s="6">
        <v>8</v>
      </c>
      <c r="P46" s="6">
        <v>9</v>
      </c>
      <c r="Q46" s="6">
        <v>6</v>
      </c>
      <c r="R46" s="6">
        <v>6</v>
      </c>
      <c r="S46" s="6">
        <v>8</v>
      </c>
      <c r="T46" s="6">
        <v>10</v>
      </c>
      <c r="U46" s="6">
        <f>SUM(C46:T46)</f>
        <v>115</v>
      </c>
      <c r="V46" s="7"/>
    </row>
    <row r="47" spans="1:22" ht="15.75" x14ac:dyDescent="0.25">
      <c r="A47" s="3" t="str">
        <f>_xlfn.CONCAT(A45," Stableford Points")</f>
        <v>Chris Lundhagen Stableford Points</v>
      </c>
      <c r="B47" s="3"/>
      <c r="C47" s="6" cm="1">
        <f t="array" ref="C47">IF(ISBLANK(C46),"",VLOOKUP(C46-IF(INDEX(PlayerGender,SUMPRODUCT((PlayerPlayerNo=VALUE(RIGHT($A44,1)))*ROW(PlayerGender))-1)="M",INDEX(HoleParM,C$3,0),INDEX(HoleParF,C$3,0)),Stableford_Points,2))</f>
        <v>0</v>
      </c>
      <c r="D47" s="6" cm="1">
        <f t="array" ref="D47">IF(ISBLANK(D46),"",VLOOKUP(D46-IF(INDEX(PlayerGender,SUMPRODUCT((PlayerPlayerNo=VALUE(RIGHT($A44,1)))*ROW(PlayerGender))-1)="M",INDEX(HoleParM,D$3,0),INDEX(HoleParF,D$3,0)),Stableford_Points,2))</f>
        <v>0</v>
      </c>
      <c r="E47" s="6" cm="1">
        <f t="array" ref="E47">IF(ISBLANK(E46),"",VLOOKUP(E46-IF(INDEX(PlayerGender,SUMPRODUCT((PlayerPlayerNo=VALUE(RIGHT($A44,1)))*ROW(PlayerGender))-1)="M",INDEX(HoleParM,E$3,0),INDEX(HoleParF,E$3,0)),Stableford_Points,2))</f>
        <v>1</v>
      </c>
      <c r="F47" s="6" cm="1">
        <f t="array" ref="F47">IF(ISBLANK(F46),"",VLOOKUP(F46-IF(INDEX(PlayerGender,SUMPRODUCT((PlayerPlayerNo=VALUE(RIGHT($A44,1)))*ROW(PlayerGender))-1)="M",INDEX(HoleParM,F$3,0),INDEX(HoleParF,F$3,0)),Stableford_Points,2))</f>
        <v>1</v>
      </c>
      <c r="G47" s="6" cm="1">
        <f t="array" ref="G47">IF(ISBLANK(G46),"",VLOOKUP(G46-IF(INDEX(PlayerGender,SUMPRODUCT((PlayerPlayerNo=VALUE(RIGHT($A44,1)))*ROW(PlayerGender))-1)="M",INDEX(HoleParM,G$3,0),INDEX(HoleParF,G$3,0)),Stableford_Points,2))</f>
        <v>0</v>
      </c>
      <c r="H47" s="6" cm="1">
        <f t="array" ref="H47">IF(ISBLANK(H46),"",VLOOKUP(H46-IF(INDEX(PlayerGender,SUMPRODUCT((PlayerPlayerNo=VALUE(RIGHT($A44,1)))*ROW(PlayerGender))-1)="M",INDEX(HoleParM,H$3,0),INDEX(HoleParF,H$3,0)),Stableford_Points,2))</f>
        <v>1</v>
      </c>
      <c r="I47" s="6" cm="1">
        <f t="array" ref="I47">IF(ISBLANK(I46),"",VLOOKUP(I46-IF(INDEX(PlayerGender,SUMPRODUCT((PlayerPlayerNo=VALUE(RIGHT($A44,1)))*ROW(PlayerGender))-1)="M",INDEX(HoleParM,I$3,0),INDEX(HoleParF,I$3,0)),Stableford_Points,2))</f>
        <v>1</v>
      </c>
      <c r="J47" s="6" cm="1">
        <f t="array" ref="J47">IF(ISBLANK(J46),"",VLOOKUP(J46-IF(INDEX(PlayerGender,SUMPRODUCT((PlayerPlayerNo=VALUE(RIGHT($A44,1)))*ROW(PlayerGender))-1)="M",INDEX(HoleParM,J$3,0),INDEX(HoleParF,J$3,0)),Stableford_Points,2))</f>
        <v>0</v>
      </c>
      <c r="K47" s="6" cm="1">
        <f t="array" ref="K47">IF(ISBLANK(K46),"",VLOOKUP(K46-IF(INDEX(PlayerGender,SUMPRODUCT((PlayerPlayerNo=VALUE(RIGHT($A44,1)))*ROW(PlayerGender))-1)="M",INDEX(HoleParM,K$3,0),INDEX(HoleParF,K$3,0)),Stableford_Points,2))</f>
        <v>0</v>
      </c>
      <c r="L47" s="6" cm="1">
        <f t="array" ref="L47">IF(ISBLANK(L46),"",VLOOKUP(L46-IF(INDEX(PlayerGender,SUMPRODUCT((PlayerPlayerNo=VALUE(RIGHT($A44,1)))*ROW(PlayerGender))-1)="M",INDEX(HoleParM,L$3,0),INDEX(HoleParF,L$3,0)),Stableford_Points,2))</f>
        <v>2</v>
      </c>
      <c r="M47" s="6" cm="1">
        <f t="array" ref="M47">IF(ISBLANK(M46),"",VLOOKUP(M46-IF(INDEX(PlayerGender,SUMPRODUCT((PlayerPlayerNo=VALUE(RIGHT($A44,1)))*ROW(PlayerGender))-1)="M",INDEX(HoleParM,M$3,0),INDEX(HoleParF,M$3,0)),Stableford_Points,2))</f>
        <v>0</v>
      </c>
      <c r="N47" s="6" cm="1">
        <f t="array" ref="N47">IF(ISBLANK(N46),"",VLOOKUP(N46-IF(INDEX(PlayerGender,SUMPRODUCT((PlayerPlayerNo=VALUE(RIGHT($A44,1)))*ROW(PlayerGender))-1)="M",INDEX(HoleParM,N$3,0),INDEX(HoleParF,N$3,0)),Stableford_Points,2))</f>
        <v>3</v>
      </c>
      <c r="O47" s="6" cm="1">
        <f t="array" ref="O47">IF(ISBLANK(O46),"",VLOOKUP(O46-IF(INDEX(PlayerGender,SUMPRODUCT((PlayerPlayerNo=VALUE(RIGHT($A44,1)))*ROW(PlayerGender))-1)="M",INDEX(HoleParM,O$3,0),INDEX(HoleParF,O$3,0)),Stableford_Points,2))</f>
        <v>0</v>
      </c>
      <c r="P47" s="6" cm="1">
        <f t="array" ref="P47">IF(ISBLANK(P46),"",VLOOKUP(P46-IF(INDEX(PlayerGender,SUMPRODUCT((PlayerPlayerNo=VALUE(RIGHT($A44,1)))*ROW(PlayerGender))-1)="M",INDEX(HoleParM,P$3,0),INDEX(HoleParF,P$3,0)),Stableford_Points,2))</f>
        <v>0</v>
      </c>
      <c r="Q47" s="6" cm="1">
        <f t="array" ref="Q47">IF(ISBLANK(Q46),"",VLOOKUP(Q46-IF(INDEX(PlayerGender,SUMPRODUCT((PlayerPlayerNo=VALUE(RIGHT($A44,1)))*ROW(PlayerGender))-1)="M",INDEX(HoleParM,Q$3,0),INDEX(HoleParF,Q$3,0)),Stableford_Points,2))</f>
        <v>0</v>
      </c>
      <c r="R47" s="6" cm="1">
        <f t="array" ref="R47">IF(ISBLANK(R46),"",VLOOKUP(R46-IF(INDEX(PlayerGender,SUMPRODUCT((PlayerPlayerNo=VALUE(RIGHT($A44,1)))*ROW(PlayerGender))-1)="M",INDEX(HoleParM,R$3,0),INDEX(HoleParF,R$3,0)),Stableford_Points,2))</f>
        <v>0</v>
      </c>
      <c r="S47" s="6" cm="1">
        <f t="array" ref="S47">IF(ISBLANK(S46),"",VLOOKUP(S46-IF(INDEX(PlayerGender,SUMPRODUCT((PlayerPlayerNo=VALUE(RIGHT($A44,1)))*ROW(PlayerGender))-1)="M",INDEX(HoleParM,S$3,0),INDEX(HoleParF,S$3,0)),Stableford_Points,2))</f>
        <v>0</v>
      </c>
      <c r="T47" s="6" cm="1">
        <f t="array" ref="T47">IF(ISBLANK(T46),"",VLOOKUP(T46-IF(INDEX(PlayerGender,SUMPRODUCT((PlayerPlayerNo=VALUE(RIGHT($A44,1)))*ROW(PlayerGender))-1)="M",INDEX(HoleParM,T$3,0),INDEX(HoleParF,T$3,0)),Stableford_Points,2))</f>
        <v>0</v>
      </c>
      <c r="U47" s="6">
        <f>SUM(C47:T47)</f>
        <v>9</v>
      </c>
      <c r="V47" s="6">
        <f>IF($U47=0,"",U47-F45)</f>
        <v>0</v>
      </c>
    </row>
    <row r="48" spans="1:22" ht="15.75" x14ac:dyDescent="0.25">
      <c r="A48" s="3"/>
      <c r="B48" s="3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7"/>
    </row>
    <row r="49" spans="1:22" ht="31.5" x14ac:dyDescent="0.25">
      <c r="A49" s="3" t="s">
        <v>62</v>
      </c>
      <c r="B49" s="3" t="s">
        <v>42</v>
      </c>
      <c r="C49" s="3" t="s">
        <v>0</v>
      </c>
      <c r="D49" s="4" t="s">
        <v>31</v>
      </c>
      <c r="E49" s="3" t="s">
        <v>45</v>
      </c>
      <c r="F49" s="3" t="s">
        <v>43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7"/>
    </row>
    <row r="50" spans="1:22" ht="15.75" x14ac:dyDescent="0.25">
      <c r="A50" s="3" t="str" cm="1">
        <f t="array" ref="A50">INDEX(PlayerNames,SUMPRODUCT((PlayerPlayerNo=VALUE(RIGHT(A49,1)))*ROW(PlayerNames))-1)</f>
        <v>Sam Ferris</v>
      </c>
      <c r="B50" s="3" t="str" cm="1">
        <f t="array" ref="B50">INDEX(PlayerTees,SUMPRODUCT((PlayerPlayerNo=(VALUE(RIGHT($A49,1))))*ROW(PlayerNames))-1)</f>
        <v>Iron</v>
      </c>
      <c r="C50" s="3" cm="1">
        <f t="array" ref="C50">MIN(30,INDEX(PlayerHandicaps,SUMPRODUCT((PlayerPlayerNo=VALUE(RIGHT($A49,1)))*ROW(PlayerHandicaps))-1))</f>
        <v>26.8</v>
      </c>
      <c r="D50" s="3" cm="1">
        <f t="array" ref="D50">IF(C50="","",IF(C50=0,0,IF(INDEX(PlayerGender,SUMPRODUCT((PlayerPlayerNo=VALUE(RIGHT($A49,1)))*ROW(PlayerGender))-1)="M",ROUND(($C50*(HLOOKUP($B50,MensTees,2,FALSE)/113))+(HLOOKUP(B50,MensTees,3,FALSE)-HLOOKUP($B50,MensTees,4,FALSE)),0),ROUND(($C50*(HLOOKUP($B50,WomensTees,2,FALSE)/113))+(HLOOKUP($B50,WomensTees,3,FALSE)-HLOOKUP($B50,WomensTees,4,FALSE)),0))))</f>
        <v>28</v>
      </c>
      <c r="E50">
        <f>$D50*Handicap_Allowance</f>
        <v>28</v>
      </c>
      <c r="F50" s="3">
        <f>36-D50</f>
        <v>8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 t="s">
        <v>3</v>
      </c>
      <c r="V50" s="7"/>
    </row>
    <row r="51" spans="1:22" ht="15.75" x14ac:dyDescent="0.25">
      <c r="A51" s="3" t="str">
        <f>_xlfn.CONCAT(A50," Gross")</f>
        <v>Sam Ferris Gross</v>
      </c>
      <c r="B51" s="3"/>
      <c r="C51" s="6">
        <v>7</v>
      </c>
      <c r="D51" s="6">
        <v>6</v>
      </c>
      <c r="E51" s="6">
        <v>7</v>
      </c>
      <c r="F51" s="6">
        <v>7</v>
      </c>
      <c r="G51" s="6">
        <v>7</v>
      </c>
      <c r="H51" s="6">
        <v>4</v>
      </c>
      <c r="I51" s="6">
        <v>4</v>
      </c>
      <c r="J51" s="6">
        <v>4</v>
      </c>
      <c r="K51" s="6">
        <v>7</v>
      </c>
      <c r="L51" s="6">
        <v>6</v>
      </c>
      <c r="M51" s="6">
        <v>8</v>
      </c>
      <c r="N51" s="6">
        <v>4</v>
      </c>
      <c r="O51" s="6">
        <v>5</v>
      </c>
      <c r="P51" s="6">
        <v>6</v>
      </c>
      <c r="Q51" s="6">
        <v>6</v>
      </c>
      <c r="R51" s="6">
        <v>7</v>
      </c>
      <c r="S51" s="6">
        <v>4</v>
      </c>
      <c r="T51" s="6">
        <v>8</v>
      </c>
      <c r="U51" s="6">
        <f>SUM(C51:T51)</f>
        <v>107</v>
      </c>
      <c r="V51" s="7"/>
    </row>
    <row r="52" spans="1:22" ht="15.75" x14ac:dyDescent="0.25">
      <c r="A52" s="3" t="str">
        <f>_xlfn.CONCAT(A50," Stableford Points")</f>
        <v>Sam Ferris Stableford Points</v>
      </c>
      <c r="B52" s="3"/>
      <c r="C52" s="6" cm="1">
        <f t="array" ref="C52">IF(ISBLANK(C51),"",VLOOKUP(C51-IF(INDEX(PlayerGender,SUMPRODUCT((PlayerPlayerNo=VALUE(RIGHT($A49,1)))*ROW(PlayerGender))-1)="M",INDEX(HoleParM,C$3,0),INDEX(HoleParF,C$3,0)),Stableford_Points,2))</f>
        <v>0</v>
      </c>
      <c r="D52" s="6" cm="1">
        <f t="array" ref="D52">IF(ISBLANK(D51),"",VLOOKUP(D51-IF(INDEX(PlayerGender,SUMPRODUCT((PlayerPlayerNo=VALUE(RIGHT($A49,1)))*ROW(PlayerGender))-1)="M",INDEX(HoleParM,D$3,0),INDEX(HoleParF,D$3,0)),Stableford_Points,2))</f>
        <v>1</v>
      </c>
      <c r="E52" s="6" cm="1">
        <f t="array" ref="E52">IF(ISBLANK(E51),"",VLOOKUP(E51-IF(INDEX(PlayerGender,SUMPRODUCT((PlayerPlayerNo=VALUE(RIGHT($A49,1)))*ROW(PlayerGender))-1)="M",INDEX(HoleParM,E$3,0),INDEX(HoleParF,E$3,0)),Stableford_Points,2))</f>
        <v>0</v>
      </c>
      <c r="F52" s="6" cm="1">
        <f t="array" ref="F52">IF(ISBLANK(F51),"",VLOOKUP(F51-IF(INDEX(PlayerGender,SUMPRODUCT((PlayerPlayerNo=VALUE(RIGHT($A49,1)))*ROW(PlayerGender))-1)="M",INDEX(HoleParM,F$3,0),INDEX(HoleParF,F$3,0)),Stableford_Points,2))</f>
        <v>0</v>
      </c>
      <c r="G52" s="6" cm="1">
        <f t="array" ref="G52">IF(ISBLANK(G51),"",VLOOKUP(G51-IF(INDEX(PlayerGender,SUMPRODUCT((PlayerPlayerNo=VALUE(RIGHT($A49,1)))*ROW(PlayerGender))-1)="M",INDEX(HoleParM,G$3,0),INDEX(HoleParF,G$3,0)),Stableford_Points,2))</f>
        <v>0</v>
      </c>
      <c r="H52" s="6" cm="1">
        <f t="array" ref="H52">IF(ISBLANK(H51),"",VLOOKUP(H51-IF(INDEX(PlayerGender,SUMPRODUCT((PlayerPlayerNo=VALUE(RIGHT($A49,1)))*ROW(PlayerGender))-1)="M",INDEX(HoleParM,H$3,0),INDEX(HoleParF,H$3,0)),Stableford_Points,2))</f>
        <v>1</v>
      </c>
      <c r="I52" s="6" cm="1">
        <f t="array" ref="I52">IF(ISBLANK(I51),"",VLOOKUP(I51-IF(INDEX(PlayerGender,SUMPRODUCT((PlayerPlayerNo=VALUE(RIGHT($A49,1)))*ROW(PlayerGender))-1)="M",INDEX(HoleParM,I$3,0),INDEX(HoleParF,I$3,0)),Stableford_Points,2))</f>
        <v>2</v>
      </c>
      <c r="J52" s="6" cm="1">
        <f t="array" ref="J52">IF(ISBLANK(J51),"",VLOOKUP(J51-IF(INDEX(PlayerGender,SUMPRODUCT((PlayerPlayerNo=VALUE(RIGHT($A49,1)))*ROW(PlayerGender))-1)="M",INDEX(HoleParM,J$3,0),INDEX(HoleParF,J$3,0)),Stableford_Points,2))</f>
        <v>1</v>
      </c>
      <c r="K52" s="6" cm="1">
        <f t="array" ref="K52">IF(ISBLANK(K51),"",VLOOKUP(K51-IF(INDEX(PlayerGender,SUMPRODUCT((PlayerPlayerNo=VALUE(RIGHT($A49,1)))*ROW(PlayerGender))-1)="M",INDEX(HoleParM,K$3,0),INDEX(HoleParF,K$3,0)),Stableford_Points,2))</f>
        <v>0</v>
      </c>
      <c r="L52" s="6" cm="1">
        <f t="array" ref="L52">IF(ISBLANK(L51),"",VLOOKUP(L51-IF(INDEX(PlayerGender,SUMPRODUCT((PlayerPlayerNo=VALUE(RIGHT($A49,1)))*ROW(PlayerGender))-1)="M",INDEX(HoleParM,L$3,0),INDEX(HoleParF,L$3,0)),Stableford_Points,2))</f>
        <v>0</v>
      </c>
      <c r="M52" s="6" cm="1">
        <f t="array" ref="M52">IF(ISBLANK(M51),"",VLOOKUP(M51-IF(INDEX(PlayerGender,SUMPRODUCT((PlayerPlayerNo=VALUE(RIGHT($A49,1)))*ROW(PlayerGender))-1)="M",INDEX(HoleParM,M$3,0),INDEX(HoleParF,M$3,0)),Stableford_Points,2))</f>
        <v>0</v>
      </c>
      <c r="N52" s="6" cm="1">
        <f t="array" ref="N52">IF(ISBLANK(N51),"",VLOOKUP(N51-IF(INDEX(PlayerGender,SUMPRODUCT((PlayerPlayerNo=VALUE(RIGHT($A49,1)))*ROW(PlayerGender))-1)="M",INDEX(HoleParM,N$3,0),INDEX(HoleParF,N$3,0)),Stableford_Points,2))</f>
        <v>1</v>
      </c>
      <c r="O52" s="6" cm="1">
        <f t="array" ref="O52">IF(ISBLANK(O51),"",VLOOKUP(O51-IF(INDEX(PlayerGender,SUMPRODUCT((PlayerPlayerNo=VALUE(RIGHT($A49,1)))*ROW(PlayerGender))-1)="M",INDEX(HoleParM,O$3,0),INDEX(HoleParF,O$3,0)),Stableford_Points,2))</f>
        <v>1</v>
      </c>
      <c r="P52" s="6" cm="1">
        <f t="array" ref="P52">IF(ISBLANK(P51),"",VLOOKUP(P51-IF(INDEX(PlayerGender,SUMPRODUCT((PlayerPlayerNo=VALUE(RIGHT($A49,1)))*ROW(PlayerGender))-1)="M",INDEX(HoleParM,P$3,0),INDEX(HoleParF,P$3,0)),Stableford_Points,2))</f>
        <v>1</v>
      </c>
      <c r="Q52" s="6" cm="1">
        <f t="array" ref="Q52">IF(ISBLANK(Q51),"",VLOOKUP(Q51-IF(INDEX(PlayerGender,SUMPRODUCT((PlayerPlayerNo=VALUE(RIGHT($A49,1)))*ROW(PlayerGender))-1)="M",INDEX(HoleParM,Q$3,0),INDEX(HoleParF,Q$3,0)),Stableford_Points,2))</f>
        <v>0</v>
      </c>
      <c r="R52" s="6" cm="1">
        <f t="array" ref="R52">IF(ISBLANK(R51),"",VLOOKUP(R51-IF(INDEX(PlayerGender,SUMPRODUCT((PlayerPlayerNo=VALUE(RIGHT($A49,1)))*ROW(PlayerGender))-1)="M",INDEX(HoleParM,R$3,0),INDEX(HoleParF,R$3,0)),Stableford_Points,2))</f>
        <v>0</v>
      </c>
      <c r="S52" s="6" cm="1">
        <f t="array" ref="S52">IF(ISBLANK(S51),"",VLOOKUP(S51-IF(INDEX(PlayerGender,SUMPRODUCT((PlayerPlayerNo=VALUE(RIGHT($A49,1)))*ROW(PlayerGender))-1)="M",INDEX(HoleParM,S$3,0),INDEX(HoleParF,S$3,0)),Stableford_Points,2))</f>
        <v>2</v>
      </c>
      <c r="T52" s="6" cm="1">
        <f t="array" ref="T52">IF(ISBLANK(T51),"",VLOOKUP(T51-IF(INDEX(PlayerGender,SUMPRODUCT((PlayerPlayerNo=VALUE(RIGHT($A49,1)))*ROW(PlayerGender))-1)="M",INDEX(HoleParM,T$3,0),INDEX(HoleParF,T$3,0)),Stableford_Points,2))</f>
        <v>0</v>
      </c>
      <c r="U52" s="6">
        <f>SUM(C52:T52)</f>
        <v>10</v>
      </c>
      <c r="V52" s="6">
        <f>IF($U52=0,"",U52-F50)</f>
        <v>2</v>
      </c>
    </row>
    <row r="53" spans="1:22" ht="15.75" x14ac:dyDescent="0.25">
      <c r="A53" s="3"/>
      <c r="B53" s="3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7"/>
    </row>
    <row r="54" spans="1:22" ht="31.5" x14ac:dyDescent="0.25">
      <c r="A54" s="3" t="s">
        <v>63</v>
      </c>
      <c r="B54" s="3" t="s">
        <v>42</v>
      </c>
      <c r="C54" s="3" t="s">
        <v>0</v>
      </c>
      <c r="D54" s="4" t="s">
        <v>31</v>
      </c>
      <c r="E54" s="3" t="s">
        <v>45</v>
      </c>
      <c r="F54" s="3" t="s">
        <v>43</v>
      </c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7"/>
    </row>
    <row r="55" spans="1:22" ht="15.75" x14ac:dyDescent="0.25">
      <c r="A55" s="3" t="str" cm="1">
        <f t="array" ref="A55">INDEX(PlayerNames,SUMPRODUCT((PlayerPlayerNo=VALUE(RIGHT(A54,2)))*ROW(PlayerNames))-1)</f>
        <v>Dawn Ferris</v>
      </c>
      <c r="B55" s="3" t="str" cm="1">
        <f t="array" ref="B55">INDEX(PlayerTees,SUMPRODUCT((PlayerPlayerNo=(VALUE(RIGHT($A54,2))))*ROW(PlayerNames))-1)</f>
        <v>Gold</v>
      </c>
      <c r="C55" s="3" cm="1">
        <f t="array" ref="C55">MIN(30,INDEX(PlayerHandicaps,SUMPRODUCT((PlayerPlayerNo=VALUE(RIGHT($A54,2)))*ROW(PlayerHandicaps))-1))</f>
        <v>29.5</v>
      </c>
      <c r="D55" s="3" cm="1">
        <f t="array" ref="D55">IF(C55="","",IF(C55=0,0,IF(INDEX(PlayerGender,SUMPRODUCT((PlayerPlayerNo=VALUE(RIGHT($A54,2)))*ROW(PlayerGender))-1)="M",ROUND(($C55*(HLOOKUP($B55,MensTees,2,FALSE)/113))+(HLOOKUP(B55,MensTees,3,FALSE)-HLOOKUP($B55,MensTees,4,FALSE)),0),ROUND(($C55*(HLOOKUP($B55,WomensTees,2,FALSE)/113))+(HLOOKUP($B55,WomensTees,3,FALSE)-HLOOKUP($B55,WomensTees,4,FALSE)),0))))</f>
        <v>30</v>
      </c>
      <c r="E55">
        <f>$D55*Handicap_Allowance</f>
        <v>30</v>
      </c>
      <c r="F55" s="3">
        <f>36-D55</f>
        <v>6</v>
      </c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 t="s">
        <v>3</v>
      </c>
      <c r="V55" s="7"/>
    </row>
    <row r="56" spans="1:22" ht="15.75" x14ac:dyDescent="0.25">
      <c r="A56" s="3" t="str">
        <f>_xlfn.CONCAT(A55," Gross")</f>
        <v>Dawn Ferris Gross</v>
      </c>
      <c r="B56" s="3"/>
      <c r="C56" s="6">
        <v>7</v>
      </c>
      <c r="D56" s="6">
        <v>6</v>
      </c>
      <c r="E56" s="6">
        <v>5</v>
      </c>
      <c r="F56" s="6">
        <v>6</v>
      </c>
      <c r="G56" s="6">
        <v>6</v>
      </c>
      <c r="H56" s="6">
        <v>3</v>
      </c>
      <c r="I56" s="6">
        <v>4</v>
      </c>
      <c r="J56" s="6">
        <v>6</v>
      </c>
      <c r="K56" s="6">
        <v>6</v>
      </c>
      <c r="L56" s="6">
        <v>8</v>
      </c>
      <c r="M56" s="6">
        <v>7</v>
      </c>
      <c r="N56" s="6">
        <v>4</v>
      </c>
      <c r="O56" s="6">
        <v>8</v>
      </c>
      <c r="P56" s="6">
        <v>10</v>
      </c>
      <c r="Q56" s="6">
        <v>6</v>
      </c>
      <c r="R56" s="6">
        <v>7</v>
      </c>
      <c r="S56" s="6">
        <v>6</v>
      </c>
      <c r="T56" s="6">
        <v>7</v>
      </c>
      <c r="U56" s="6">
        <f>SUM(C56:T56)</f>
        <v>112</v>
      </c>
      <c r="V56" s="7"/>
    </row>
    <row r="57" spans="1:22" ht="15.75" x14ac:dyDescent="0.25">
      <c r="A57" s="3" t="str">
        <f>_xlfn.CONCAT(A55," Stableford Points")</f>
        <v>Dawn Ferris Stableford Points</v>
      </c>
      <c r="B57" s="3"/>
      <c r="C57" s="6" cm="1">
        <f t="array" ref="C57">IF(ISBLANK(C56),"",VLOOKUP(C56-IF(INDEX(PlayerGender,SUMPRODUCT((PlayerPlayerNo=VALUE(RIGHT($A54,2)))*ROW(PlayerGender))-1)="M",INDEX(HoleParM,C$3,0),INDEX(HoleParF,C$3,0)),Stableford_Points,2))</f>
        <v>0</v>
      </c>
      <c r="D57" s="6" cm="1">
        <f t="array" ref="D57">IF(ISBLANK(D56),"",VLOOKUP(D56-IF(INDEX(PlayerGender,SUMPRODUCT((PlayerPlayerNo=VALUE(RIGHT($A54,2)))*ROW(PlayerGender))-1)="M",INDEX(HoleParM,D$3,0),INDEX(HoleParF,D$3,0)),Stableford_Points,2))</f>
        <v>1</v>
      </c>
      <c r="E57" s="6" cm="1">
        <f t="array" ref="E57">IF(ISBLANK(E56),"",VLOOKUP(E56-IF(INDEX(PlayerGender,SUMPRODUCT((PlayerPlayerNo=VALUE(RIGHT($A54,2)))*ROW(PlayerGender))-1)="M",INDEX(HoleParM,E$3,0),INDEX(HoleParF,E$3,0)),Stableford_Points,2))</f>
        <v>1</v>
      </c>
      <c r="F57" s="6" cm="1">
        <f t="array" ref="F57">IF(ISBLANK(F56),"",VLOOKUP(F56-IF(INDEX(PlayerGender,SUMPRODUCT((PlayerPlayerNo=VALUE(RIGHT($A54,2)))*ROW(PlayerGender))-1)="M",INDEX(HoleParM,F$3,0),INDEX(HoleParF,F$3,0)),Stableford_Points,2))</f>
        <v>0</v>
      </c>
      <c r="G57" s="6" cm="1">
        <f t="array" ref="G57">IF(ISBLANK(G56),"",VLOOKUP(G56-IF(INDEX(PlayerGender,SUMPRODUCT((PlayerPlayerNo=VALUE(RIGHT($A54,2)))*ROW(PlayerGender))-1)="M",INDEX(HoleParM,G$3,0),INDEX(HoleParF,G$3,0)),Stableford_Points,2))</f>
        <v>1</v>
      </c>
      <c r="H57" s="6" cm="1">
        <f t="array" ref="H57">IF(ISBLANK(H56),"",VLOOKUP(H56-IF(INDEX(PlayerGender,SUMPRODUCT((PlayerPlayerNo=VALUE(RIGHT($A54,2)))*ROW(PlayerGender))-1)="M",INDEX(HoleParM,H$3,0),INDEX(HoleParF,H$3,0)),Stableford_Points,2))</f>
        <v>2</v>
      </c>
      <c r="I57" s="6" cm="1">
        <f t="array" ref="I57">IF(ISBLANK(I56),"",VLOOKUP(I56-IF(INDEX(PlayerGender,SUMPRODUCT((PlayerPlayerNo=VALUE(RIGHT($A54,2)))*ROW(PlayerGender))-1)="M",INDEX(HoleParM,I$3,0),INDEX(HoleParF,I$3,0)),Stableford_Points,2))</f>
        <v>2</v>
      </c>
      <c r="J57" s="6" cm="1">
        <f t="array" ref="J57">IF(ISBLANK(J56),"",VLOOKUP(J56-IF(INDEX(PlayerGender,SUMPRODUCT((PlayerPlayerNo=VALUE(RIGHT($A54,2)))*ROW(PlayerGender))-1)="M",INDEX(HoleParM,J$3,0),INDEX(HoleParF,J$3,0)),Stableford_Points,2))</f>
        <v>0</v>
      </c>
      <c r="K57" s="6" cm="1">
        <f t="array" ref="K57">IF(ISBLANK(K56),"",VLOOKUP(K56-IF(INDEX(PlayerGender,SUMPRODUCT((PlayerPlayerNo=VALUE(RIGHT($A54,2)))*ROW(PlayerGender))-1)="M",INDEX(HoleParM,K$3,0),INDEX(HoleParF,K$3,0)),Stableford_Points,2))</f>
        <v>0</v>
      </c>
      <c r="L57" s="6" cm="1">
        <f t="array" ref="L57">IF(ISBLANK(L56),"",VLOOKUP(L56-IF(INDEX(PlayerGender,SUMPRODUCT((PlayerPlayerNo=VALUE(RIGHT($A54,2)))*ROW(PlayerGender))-1)="M",INDEX(HoleParM,L$3,0),INDEX(HoleParF,L$3,0)),Stableford_Points,2))</f>
        <v>0</v>
      </c>
      <c r="M57" s="6" cm="1">
        <f t="array" ref="M57">IF(ISBLANK(M56),"",VLOOKUP(M56-IF(INDEX(PlayerGender,SUMPRODUCT((PlayerPlayerNo=VALUE(RIGHT($A54,2)))*ROW(PlayerGender))-1)="M",INDEX(HoleParM,M$3,0),INDEX(HoleParF,M$3,0)),Stableford_Points,2))</f>
        <v>0</v>
      </c>
      <c r="N57" s="6" cm="1">
        <f t="array" ref="N57">IF(ISBLANK(N56),"",VLOOKUP(N56-IF(INDEX(PlayerGender,SUMPRODUCT((PlayerPlayerNo=VALUE(RIGHT($A54,2)))*ROW(PlayerGender))-1)="M",INDEX(HoleParM,N$3,0),INDEX(HoleParF,N$3,0)),Stableford_Points,2))</f>
        <v>1</v>
      </c>
      <c r="O57" s="6" cm="1">
        <f t="array" ref="O57">IF(ISBLANK(O56),"",VLOOKUP(O56-IF(INDEX(PlayerGender,SUMPRODUCT((PlayerPlayerNo=VALUE(RIGHT($A54,2)))*ROW(PlayerGender))-1)="M",INDEX(HoleParM,O$3,0),INDEX(HoleParF,O$3,0)),Stableford_Points,2))</f>
        <v>0</v>
      </c>
      <c r="P57" s="6" cm="1">
        <f t="array" ref="P57">IF(ISBLANK(P56),"",VLOOKUP(P56-IF(INDEX(PlayerGender,SUMPRODUCT((PlayerPlayerNo=VALUE(RIGHT($A54,2)))*ROW(PlayerGender))-1)="M",INDEX(HoleParM,P$3,0),INDEX(HoleParF,P$3,0)),Stableford_Points,2))</f>
        <v>0</v>
      </c>
      <c r="Q57" s="6" cm="1">
        <f t="array" ref="Q57">IF(ISBLANK(Q56),"",VLOOKUP(Q56-IF(INDEX(PlayerGender,SUMPRODUCT((PlayerPlayerNo=VALUE(RIGHT($A54,2)))*ROW(PlayerGender))-1)="M",INDEX(HoleParM,Q$3,0),INDEX(HoleParF,Q$3,0)),Stableford_Points,2))</f>
        <v>0</v>
      </c>
      <c r="R57" s="6" cm="1">
        <f t="array" ref="R57">IF(ISBLANK(R56),"",VLOOKUP(R56-IF(INDEX(PlayerGender,SUMPRODUCT((PlayerPlayerNo=VALUE(RIGHT($A54,2)))*ROW(PlayerGender))-1)="M",INDEX(HoleParM,R$3,0),INDEX(HoleParF,R$3,0)),Stableford_Points,2))</f>
        <v>0</v>
      </c>
      <c r="S57" s="6" cm="1">
        <f t="array" ref="S57">IF(ISBLANK(S56),"",VLOOKUP(S56-IF(INDEX(PlayerGender,SUMPRODUCT((PlayerPlayerNo=VALUE(RIGHT($A54,2)))*ROW(PlayerGender))-1)="M",INDEX(HoleParM,S$3,0),INDEX(HoleParF,S$3,0)),Stableford_Points,2))</f>
        <v>0</v>
      </c>
      <c r="T57" s="6" cm="1">
        <f t="array" ref="T57">IF(ISBLANK(T56),"",VLOOKUP(T56-IF(INDEX(PlayerGender,SUMPRODUCT((PlayerPlayerNo=VALUE(RIGHT($A54,2)))*ROW(PlayerGender))-1)="M",INDEX(HoleParM,T$3,0),INDEX(HoleParF,T$3,0)),Stableford_Points,2))</f>
        <v>0</v>
      </c>
      <c r="U57" s="6">
        <f>SUM(C57:T57)</f>
        <v>8</v>
      </c>
      <c r="V57" s="6">
        <f>IF($U57=0,"",U57-F55)</f>
        <v>2</v>
      </c>
    </row>
    <row r="58" spans="1:22" ht="15.75" x14ac:dyDescent="0.25">
      <c r="A58" s="3"/>
      <c r="B58" s="3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7"/>
    </row>
    <row r="59" spans="1:22" ht="31.5" x14ac:dyDescent="0.25">
      <c r="A59" s="3" t="s">
        <v>64</v>
      </c>
      <c r="B59" s="3" t="s">
        <v>42</v>
      </c>
      <c r="C59" s="3" t="s">
        <v>0</v>
      </c>
      <c r="D59" s="4" t="s">
        <v>31</v>
      </c>
      <c r="E59" s="3" t="s">
        <v>45</v>
      </c>
      <c r="F59" s="3" t="s">
        <v>43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7"/>
    </row>
    <row r="60" spans="1:22" ht="15.75" x14ac:dyDescent="0.25">
      <c r="A60" s="3" t="str" cm="1">
        <f t="array" ref="A60">INDEX(PlayerNames,SUMPRODUCT((PlayerPlayerNo=VALUE(RIGHT(A59,2)))*ROW(PlayerNames))-1)</f>
        <v>Jabob Skora</v>
      </c>
      <c r="B60" s="3" t="str" cm="1">
        <f t="array" ref="B60">INDEX(PlayerTees,SUMPRODUCT((PlayerPlayerNo=(VALUE(RIGHT($A59,2))))*ROW(PlayerNames))-1)</f>
        <v>Iron</v>
      </c>
      <c r="C60" s="3" cm="1">
        <f t="array" ref="C60">MIN(30,INDEX(PlayerHandicaps,SUMPRODUCT((PlayerPlayerNo=VALUE(RIGHT($A59,2)))*ROW(PlayerHandicaps))-1))</f>
        <v>17</v>
      </c>
      <c r="D60" s="3" cm="1">
        <f t="array" ref="D60">IF(C60="","",IF(C60=0,0,IF(INDEX(PlayerGender,SUMPRODUCT((PlayerPlayerNo=VALUE(RIGHT($A59,2)))*ROW(PlayerGender))-1)="M",ROUND(($C60*(HLOOKUP($B60,MensTees,2,FALSE)/113))+(HLOOKUP(B60,MensTees,3,FALSE)-HLOOKUP($B60,MensTees,4,FALSE)),0),ROUND(($C60*(HLOOKUP($B60,WomensTees,2,FALSE)/113))+(HLOOKUP($B60,WomensTees,3,FALSE)-HLOOKUP($B60,WomensTees,4,FALSE)),0))))</f>
        <v>17</v>
      </c>
      <c r="E60">
        <f>$D60*Handicap_Allowance</f>
        <v>17</v>
      </c>
      <c r="F60" s="3">
        <f>36-D60</f>
        <v>19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 t="s">
        <v>3</v>
      </c>
      <c r="V60" s="7"/>
    </row>
    <row r="61" spans="1:22" ht="15.75" x14ac:dyDescent="0.25">
      <c r="A61" s="3" t="str">
        <f>_xlfn.CONCAT(A60," Gross")</f>
        <v>Jabob Skora Gross</v>
      </c>
      <c r="B61" s="3"/>
      <c r="C61" s="6">
        <v>6</v>
      </c>
      <c r="D61" s="6">
        <v>6</v>
      </c>
      <c r="E61" s="6">
        <v>5</v>
      </c>
      <c r="F61" s="6">
        <v>5</v>
      </c>
      <c r="G61" s="6">
        <v>6</v>
      </c>
      <c r="H61" s="6">
        <v>4</v>
      </c>
      <c r="I61" s="6">
        <v>5</v>
      </c>
      <c r="J61" s="6">
        <v>4</v>
      </c>
      <c r="K61" s="6">
        <v>5</v>
      </c>
      <c r="L61" s="6">
        <v>3</v>
      </c>
      <c r="M61" s="6">
        <v>4</v>
      </c>
      <c r="N61" s="6">
        <v>3</v>
      </c>
      <c r="O61" s="6">
        <v>6</v>
      </c>
      <c r="P61" s="6">
        <v>5</v>
      </c>
      <c r="Q61" s="6">
        <v>3</v>
      </c>
      <c r="R61" s="6">
        <v>5</v>
      </c>
      <c r="S61" s="6">
        <v>4</v>
      </c>
      <c r="T61" s="6">
        <v>5</v>
      </c>
      <c r="U61" s="6">
        <f>SUM(C61:T61)</f>
        <v>84</v>
      </c>
      <c r="V61" s="7"/>
    </row>
    <row r="62" spans="1:22" ht="15.75" x14ac:dyDescent="0.25">
      <c r="A62" s="3" t="str">
        <f>_xlfn.CONCAT(A60," Stableford Points")</f>
        <v>Jabob Skora Stableford Points</v>
      </c>
      <c r="B62" s="3"/>
      <c r="C62" s="6" cm="1">
        <f t="array" ref="C62">IF(ISBLANK(C61),"",VLOOKUP(C61-IF(INDEX(PlayerGender,SUMPRODUCT((PlayerPlayerNo=VALUE(RIGHT($A59,2)))*ROW(PlayerGender))-1)="M",INDEX(HoleParM,C$3,0),INDEX(HoleParF,C$3,0)),Stableford_Points,2))</f>
        <v>0</v>
      </c>
      <c r="D62" s="6" cm="1">
        <f t="array" ref="D62">IF(ISBLANK(D61),"",VLOOKUP(D61-IF(INDEX(PlayerGender,SUMPRODUCT((PlayerPlayerNo=VALUE(RIGHT($A59,2)))*ROW(PlayerGender))-1)="M",INDEX(HoleParM,D$3,0),INDEX(HoleParF,D$3,0)),Stableford_Points,2))</f>
        <v>1</v>
      </c>
      <c r="E62" s="6" cm="1">
        <f t="array" ref="E62">IF(ISBLANK(E61),"",VLOOKUP(E61-IF(INDEX(PlayerGender,SUMPRODUCT((PlayerPlayerNo=VALUE(RIGHT($A59,2)))*ROW(PlayerGender))-1)="M",INDEX(HoleParM,E$3,0),INDEX(HoleParF,E$3,0)),Stableford_Points,2))</f>
        <v>1</v>
      </c>
      <c r="F62" s="6" cm="1">
        <f t="array" ref="F62">IF(ISBLANK(F61),"",VLOOKUP(F61-IF(INDEX(PlayerGender,SUMPRODUCT((PlayerPlayerNo=VALUE(RIGHT($A59,2)))*ROW(PlayerGender))-1)="M",INDEX(HoleParM,F$3,0),INDEX(HoleParF,F$3,0)),Stableford_Points,2))</f>
        <v>1</v>
      </c>
      <c r="G62" s="6" cm="1">
        <f t="array" ref="G62">IF(ISBLANK(G61),"",VLOOKUP(G61-IF(INDEX(PlayerGender,SUMPRODUCT((PlayerPlayerNo=VALUE(RIGHT($A59,2)))*ROW(PlayerGender))-1)="M",INDEX(HoleParM,G$3,0),INDEX(HoleParF,G$3,0)),Stableford_Points,2))</f>
        <v>1</v>
      </c>
      <c r="H62" s="6" cm="1">
        <f t="array" ref="H62">IF(ISBLANK(H61),"",VLOOKUP(H61-IF(INDEX(PlayerGender,SUMPRODUCT((PlayerPlayerNo=VALUE(RIGHT($A59,2)))*ROW(PlayerGender))-1)="M",INDEX(HoleParM,H$3,0),INDEX(HoleParF,H$3,0)),Stableford_Points,2))</f>
        <v>1</v>
      </c>
      <c r="I62" s="6" cm="1">
        <f t="array" ref="I62">IF(ISBLANK(I61),"",VLOOKUP(I61-IF(INDEX(PlayerGender,SUMPRODUCT((PlayerPlayerNo=VALUE(RIGHT($A59,2)))*ROW(PlayerGender))-1)="M",INDEX(HoleParM,I$3,0),INDEX(HoleParF,I$3,0)),Stableford_Points,2))</f>
        <v>1</v>
      </c>
      <c r="J62" s="6" cm="1">
        <f t="array" ref="J62">IF(ISBLANK(J61),"",VLOOKUP(J61-IF(INDEX(PlayerGender,SUMPRODUCT((PlayerPlayerNo=VALUE(RIGHT($A59,2)))*ROW(PlayerGender))-1)="M",INDEX(HoleParM,J$3,0),INDEX(HoleParF,J$3,0)),Stableford_Points,2))</f>
        <v>1</v>
      </c>
      <c r="K62" s="6" cm="1">
        <f t="array" ref="K62">IF(ISBLANK(K61),"",VLOOKUP(K61-IF(INDEX(PlayerGender,SUMPRODUCT((PlayerPlayerNo=VALUE(RIGHT($A59,2)))*ROW(PlayerGender))-1)="M",INDEX(HoleParM,K$3,0),INDEX(HoleParF,K$3,0)),Stableford_Points,2))</f>
        <v>1</v>
      </c>
      <c r="L62" s="6" cm="1">
        <f t="array" ref="L62">IF(ISBLANK(L61),"",VLOOKUP(L61-IF(INDEX(PlayerGender,SUMPRODUCT((PlayerPlayerNo=VALUE(RIGHT($A59,2)))*ROW(PlayerGender))-1)="M",INDEX(HoleParM,L$3,0),INDEX(HoleParF,L$3,0)),Stableford_Points,2))</f>
        <v>3</v>
      </c>
      <c r="M62" s="6" cm="1">
        <f t="array" ref="M62">IF(ISBLANK(M61),"",VLOOKUP(M61-IF(INDEX(PlayerGender,SUMPRODUCT((PlayerPlayerNo=VALUE(RIGHT($A59,2)))*ROW(PlayerGender))-1)="M",INDEX(HoleParM,M$3,0),INDEX(HoleParF,M$3,0)),Stableford_Points,2))</f>
        <v>2</v>
      </c>
      <c r="N62" s="6" cm="1">
        <f t="array" ref="N62">IF(ISBLANK(N61),"",VLOOKUP(N61-IF(INDEX(PlayerGender,SUMPRODUCT((PlayerPlayerNo=VALUE(RIGHT($A59,2)))*ROW(PlayerGender))-1)="M",INDEX(HoleParM,N$3,0),INDEX(HoleParF,N$3,0)),Stableford_Points,2))</f>
        <v>2</v>
      </c>
      <c r="O62" s="6" cm="1">
        <f t="array" ref="O62">IF(ISBLANK(O61),"",VLOOKUP(O61-IF(INDEX(PlayerGender,SUMPRODUCT((PlayerPlayerNo=VALUE(RIGHT($A59,2)))*ROW(PlayerGender))-1)="M",INDEX(HoleParM,O$3,0),INDEX(HoleParF,O$3,0)),Stableford_Points,2))</f>
        <v>0</v>
      </c>
      <c r="P62" s="6" cm="1">
        <f t="array" ref="P62">IF(ISBLANK(P61),"",VLOOKUP(P61-IF(INDEX(PlayerGender,SUMPRODUCT((PlayerPlayerNo=VALUE(RIGHT($A59,2)))*ROW(PlayerGender))-1)="M",INDEX(HoleParM,P$3,0),INDEX(HoleParF,P$3,0)),Stableford_Points,2))</f>
        <v>2</v>
      </c>
      <c r="Q62" s="6" cm="1">
        <f t="array" ref="Q62">IF(ISBLANK(Q61),"",VLOOKUP(Q61-IF(INDEX(PlayerGender,SUMPRODUCT((PlayerPlayerNo=VALUE(RIGHT($A59,2)))*ROW(PlayerGender))-1)="M",INDEX(HoleParM,Q$3,0),INDEX(HoleParF,Q$3,0)),Stableford_Points,2))</f>
        <v>2</v>
      </c>
      <c r="R62" s="6" cm="1">
        <f t="array" ref="R62">IF(ISBLANK(R61),"",VLOOKUP(R61-IF(INDEX(PlayerGender,SUMPRODUCT((PlayerPlayerNo=VALUE(RIGHT($A59,2)))*ROW(PlayerGender))-1)="M",INDEX(HoleParM,R$3,0),INDEX(HoleParF,R$3,0)),Stableford_Points,2))</f>
        <v>1</v>
      </c>
      <c r="S62" s="6" cm="1">
        <f t="array" ref="S62">IF(ISBLANK(S61),"",VLOOKUP(S61-IF(INDEX(PlayerGender,SUMPRODUCT((PlayerPlayerNo=VALUE(RIGHT($A59,2)))*ROW(PlayerGender))-1)="M",INDEX(HoleParM,S$3,0),INDEX(HoleParF,S$3,0)),Stableford_Points,2))</f>
        <v>2</v>
      </c>
      <c r="T62" s="6" cm="1">
        <f t="array" ref="T62">IF(ISBLANK(T61),"",VLOOKUP(T61-IF(INDEX(PlayerGender,SUMPRODUCT((PlayerPlayerNo=VALUE(RIGHT($A59,2)))*ROW(PlayerGender))-1)="M",INDEX(HoleParM,T$3,0),INDEX(HoleParF,T$3,0)),Stableford_Points,2))</f>
        <v>2</v>
      </c>
      <c r="U62" s="6">
        <f>SUM(C62:T62)</f>
        <v>24</v>
      </c>
      <c r="V62" s="6">
        <f>IF($U62=0,"",U62-F60)</f>
        <v>5</v>
      </c>
    </row>
    <row r="63" spans="1:22" ht="15.75" x14ac:dyDescent="0.25">
      <c r="A63" s="3"/>
      <c r="B63" s="3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7"/>
    </row>
  </sheetData>
  <conditionalFormatting sqref="U11:U12">
    <cfRule type="cellIs" dxfId="10" priority="25" operator="equal">
      <formula>0</formula>
    </cfRule>
  </conditionalFormatting>
  <conditionalFormatting sqref="U16:U17">
    <cfRule type="cellIs" dxfId="9" priority="19" operator="equal">
      <formula>0</formula>
    </cfRule>
  </conditionalFormatting>
  <conditionalFormatting sqref="U21:U22">
    <cfRule type="cellIs" dxfId="8" priority="13" operator="equal">
      <formula>0</formula>
    </cfRule>
  </conditionalFormatting>
  <conditionalFormatting sqref="U26:U27">
    <cfRule type="cellIs" dxfId="7" priority="12" operator="equal">
      <formula>0</formula>
    </cfRule>
  </conditionalFormatting>
  <conditionalFormatting sqref="U31:U32">
    <cfRule type="cellIs" dxfId="6" priority="11" operator="equal">
      <formula>0</formula>
    </cfRule>
  </conditionalFormatting>
  <conditionalFormatting sqref="U36:U37">
    <cfRule type="cellIs" dxfId="5" priority="10" operator="equal">
      <formula>0</formula>
    </cfRule>
  </conditionalFormatting>
  <conditionalFormatting sqref="U41:U42">
    <cfRule type="cellIs" dxfId="4" priority="9" operator="equal">
      <formula>0</formula>
    </cfRule>
  </conditionalFormatting>
  <conditionalFormatting sqref="U46:U47">
    <cfRule type="cellIs" dxfId="3" priority="8" operator="equal">
      <formula>0</formula>
    </cfRule>
  </conditionalFormatting>
  <conditionalFormatting sqref="U51:U52">
    <cfRule type="cellIs" dxfId="2" priority="7" operator="equal">
      <formula>0</formula>
    </cfRule>
  </conditionalFormatting>
  <conditionalFormatting sqref="U56:U57">
    <cfRule type="cellIs" dxfId="1" priority="6" operator="equal">
      <formula>0</formula>
    </cfRule>
  </conditionalFormatting>
  <conditionalFormatting sqref="U61:U62">
    <cfRule type="cellIs" dxfId="0" priority="1" operator="equal">
      <formula>0</formula>
    </cfRule>
  </conditionalFormatting>
  <printOptions gridLines="1"/>
  <pageMargins left="0.2" right="0.2" top="0.2" bottom="0.2" header="0" footer="0"/>
  <pageSetup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F12"/>
  <sheetViews>
    <sheetView tabSelected="1" workbookViewId="0">
      <selection activeCell="D19" sqref="D19"/>
    </sheetView>
  </sheetViews>
  <sheetFormatPr defaultRowHeight="15" x14ac:dyDescent="0.25"/>
  <cols>
    <col min="1" max="1" width="14.140625" bestFit="1" customWidth="1"/>
    <col min="5" max="5" width="10.28515625" bestFit="1" customWidth="1"/>
    <col min="6" max="6" width="11" bestFit="1" customWidth="1"/>
  </cols>
  <sheetData>
    <row r="1" spans="1:6" x14ac:dyDescent="0.25">
      <c r="B1" t="s">
        <v>4</v>
      </c>
      <c r="C1" t="s">
        <v>5</v>
      </c>
      <c r="D1" t="s">
        <v>14</v>
      </c>
      <c r="E1" t="s">
        <v>42</v>
      </c>
      <c r="F1" t="s">
        <v>41</v>
      </c>
    </row>
    <row r="2" spans="1:6" x14ac:dyDescent="0.25">
      <c r="A2" t="s">
        <v>2</v>
      </c>
      <c r="B2">
        <v>27.2</v>
      </c>
      <c r="C2">
        <v>1</v>
      </c>
      <c r="D2" t="s">
        <v>15</v>
      </c>
      <c r="E2" t="s">
        <v>49</v>
      </c>
      <c r="F2" s="9">
        <v>10</v>
      </c>
    </row>
    <row r="3" spans="1:6" x14ac:dyDescent="0.25">
      <c r="A3" t="s">
        <v>22</v>
      </c>
      <c r="B3">
        <v>12.7</v>
      </c>
      <c r="C3">
        <v>7</v>
      </c>
      <c r="D3" t="s">
        <v>15</v>
      </c>
      <c r="E3" t="s">
        <v>48</v>
      </c>
      <c r="F3" s="9">
        <v>10</v>
      </c>
    </row>
    <row r="4" spans="1:6" x14ac:dyDescent="0.25">
      <c r="A4" t="s">
        <v>40</v>
      </c>
      <c r="B4">
        <v>37</v>
      </c>
      <c r="C4">
        <v>4</v>
      </c>
      <c r="D4" t="s">
        <v>15</v>
      </c>
      <c r="E4" t="s">
        <v>49</v>
      </c>
      <c r="F4" s="9">
        <v>10</v>
      </c>
    </row>
    <row r="5" spans="1:6" x14ac:dyDescent="0.25">
      <c r="A5" t="s">
        <v>29</v>
      </c>
      <c r="B5">
        <v>27.1</v>
      </c>
      <c r="C5">
        <v>6</v>
      </c>
      <c r="D5" t="s">
        <v>15</v>
      </c>
      <c r="E5" t="s">
        <v>49</v>
      </c>
      <c r="F5" s="9">
        <v>10</v>
      </c>
    </row>
    <row r="6" spans="1:6" x14ac:dyDescent="0.25">
      <c r="A6" t="s">
        <v>30</v>
      </c>
      <c r="B6">
        <v>13.1</v>
      </c>
      <c r="C6">
        <v>2</v>
      </c>
      <c r="D6" t="s">
        <v>15</v>
      </c>
      <c r="E6" t="s">
        <v>48</v>
      </c>
      <c r="F6" s="9">
        <v>10</v>
      </c>
    </row>
    <row r="7" spans="1:6" x14ac:dyDescent="0.25">
      <c r="A7" t="s">
        <v>53</v>
      </c>
      <c r="B7">
        <v>26.8</v>
      </c>
      <c r="C7">
        <v>9</v>
      </c>
      <c r="D7" t="s">
        <v>15</v>
      </c>
      <c r="E7" t="s">
        <v>48</v>
      </c>
      <c r="F7" s="9">
        <v>10</v>
      </c>
    </row>
    <row r="8" spans="1:6" x14ac:dyDescent="0.25">
      <c r="A8" t="s">
        <v>54</v>
      </c>
      <c r="B8">
        <v>29.5</v>
      </c>
      <c r="C8">
        <v>10</v>
      </c>
      <c r="D8" t="s">
        <v>55</v>
      </c>
      <c r="E8" t="s">
        <v>51</v>
      </c>
      <c r="F8" s="9">
        <v>10</v>
      </c>
    </row>
    <row r="9" spans="1:6" x14ac:dyDescent="0.25">
      <c r="A9" t="s">
        <v>56</v>
      </c>
      <c r="B9">
        <v>26</v>
      </c>
      <c r="C9">
        <v>5</v>
      </c>
      <c r="D9" t="s">
        <v>55</v>
      </c>
      <c r="E9" t="s">
        <v>51</v>
      </c>
      <c r="F9" s="9">
        <v>10</v>
      </c>
    </row>
    <row r="10" spans="1:6" x14ac:dyDescent="0.25">
      <c r="A10" t="s">
        <v>57</v>
      </c>
      <c r="B10">
        <v>17</v>
      </c>
      <c r="C10">
        <v>11</v>
      </c>
      <c r="D10" t="s">
        <v>15</v>
      </c>
      <c r="E10" t="s">
        <v>48</v>
      </c>
      <c r="F10" s="9">
        <v>10</v>
      </c>
    </row>
    <row r="11" spans="1:6" x14ac:dyDescent="0.25">
      <c r="A11" t="s">
        <v>58</v>
      </c>
      <c r="B11">
        <v>28.7</v>
      </c>
      <c r="C11">
        <v>8</v>
      </c>
      <c r="D11" t="s">
        <v>15</v>
      </c>
      <c r="E11" t="s">
        <v>49</v>
      </c>
      <c r="F11" s="9">
        <v>10</v>
      </c>
    </row>
    <row r="12" spans="1:6" x14ac:dyDescent="0.25">
      <c r="A12" t="s">
        <v>59</v>
      </c>
      <c r="B12">
        <v>32.799999999999997</v>
      </c>
      <c r="C12">
        <v>3</v>
      </c>
      <c r="D12" t="s">
        <v>15</v>
      </c>
      <c r="E12" t="s">
        <v>49</v>
      </c>
      <c r="F12" s="9">
        <v>10</v>
      </c>
    </row>
  </sheetData>
  <sortState xmlns:xlrd2="http://schemas.microsoft.com/office/spreadsheetml/2017/richdata2" ref="A2:C6">
    <sortCondition ref="C2:C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M29"/>
  <sheetViews>
    <sheetView workbookViewId="0">
      <selection activeCell="C49" sqref="C49"/>
    </sheetView>
  </sheetViews>
  <sheetFormatPr defaultRowHeight="15" x14ac:dyDescent="0.25"/>
  <cols>
    <col min="1" max="1" width="26.140625" bestFit="1" customWidth="1"/>
  </cols>
  <sheetData>
    <row r="1" spans="1:13" x14ac:dyDescent="0.25">
      <c r="A1" t="s">
        <v>6</v>
      </c>
      <c r="B1" t="s">
        <v>47</v>
      </c>
      <c r="G1" t="s">
        <v>26</v>
      </c>
      <c r="H1" t="s">
        <v>26</v>
      </c>
      <c r="I1" t="s">
        <v>27</v>
      </c>
      <c r="J1" t="s">
        <v>27</v>
      </c>
      <c r="L1" t="s">
        <v>32</v>
      </c>
    </row>
    <row r="2" spans="1:13" x14ac:dyDescent="0.25">
      <c r="A2" t="s">
        <v>7</v>
      </c>
      <c r="B2" t="s">
        <v>48</v>
      </c>
      <c r="C2" t="s">
        <v>49</v>
      </c>
      <c r="D2" t="s">
        <v>50</v>
      </c>
      <c r="F2" t="s">
        <v>23</v>
      </c>
      <c r="G2" t="s">
        <v>24</v>
      </c>
      <c r="H2" t="s">
        <v>25</v>
      </c>
      <c r="I2" t="s">
        <v>24</v>
      </c>
      <c r="J2" t="s">
        <v>25</v>
      </c>
      <c r="L2">
        <v>-4</v>
      </c>
      <c r="M2">
        <v>6</v>
      </c>
    </row>
    <row r="3" spans="1:13" x14ac:dyDescent="0.25">
      <c r="A3" t="s">
        <v>8</v>
      </c>
      <c r="B3">
        <v>127</v>
      </c>
      <c r="C3">
        <v>124</v>
      </c>
      <c r="D3">
        <v>117</v>
      </c>
      <c r="F3">
        <v>1</v>
      </c>
      <c r="G3">
        <v>11</v>
      </c>
      <c r="H3">
        <v>4</v>
      </c>
      <c r="I3">
        <v>13</v>
      </c>
      <c r="J3">
        <v>4</v>
      </c>
      <c r="L3">
        <v>-3</v>
      </c>
      <c r="M3">
        <v>5</v>
      </c>
    </row>
    <row r="4" spans="1:13" x14ac:dyDescent="0.25">
      <c r="A4" t="s">
        <v>9</v>
      </c>
      <c r="B4">
        <v>69.599999999999994</v>
      </c>
      <c r="C4">
        <v>67.900000000000006</v>
      </c>
      <c r="D4">
        <v>66</v>
      </c>
      <c r="F4">
        <v>2</v>
      </c>
      <c r="G4">
        <v>3</v>
      </c>
      <c r="H4">
        <v>5</v>
      </c>
      <c r="I4">
        <v>3</v>
      </c>
      <c r="J4">
        <v>5</v>
      </c>
      <c r="L4">
        <v>-2</v>
      </c>
      <c r="M4">
        <v>4</v>
      </c>
    </row>
    <row r="5" spans="1:13" x14ac:dyDescent="0.25">
      <c r="A5" t="s">
        <v>11</v>
      </c>
      <c r="B5">
        <v>72</v>
      </c>
      <c r="C5">
        <v>72</v>
      </c>
      <c r="D5">
        <v>72</v>
      </c>
      <c r="F5">
        <v>3</v>
      </c>
      <c r="G5">
        <v>9</v>
      </c>
      <c r="H5">
        <v>4</v>
      </c>
      <c r="I5">
        <v>9</v>
      </c>
      <c r="J5">
        <v>4</v>
      </c>
      <c r="L5">
        <v>-1</v>
      </c>
      <c r="M5">
        <v>3</v>
      </c>
    </row>
    <row r="6" spans="1:13" x14ac:dyDescent="0.25">
      <c r="A6" t="s">
        <v>17</v>
      </c>
      <c r="B6" t="s">
        <v>51</v>
      </c>
      <c r="F6">
        <v>4</v>
      </c>
      <c r="G6">
        <v>5</v>
      </c>
      <c r="H6">
        <v>4</v>
      </c>
      <c r="I6">
        <v>11</v>
      </c>
      <c r="J6">
        <v>4</v>
      </c>
      <c r="L6">
        <v>0</v>
      </c>
      <c r="M6">
        <v>2</v>
      </c>
    </row>
    <row r="7" spans="1:13" x14ac:dyDescent="0.25">
      <c r="A7" t="s">
        <v>10</v>
      </c>
      <c r="B7">
        <v>126</v>
      </c>
      <c r="F7">
        <v>5</v>
      </c>
      <c r="G7">
        <v>1</v>
      </c>
      <c r="H7">
        <v>5</v>
      </c>
      <c r="I7">
        <v>1</v>
      </c>
      <c r="J7">
        <v>5</v>
      </c>
      <c r="L7">
        <v>1</v>
      </c>
      <c r="M7">
        <v>1</v>
      </c>
    </row>
    <row r="8" spans="1:13" x14ac:dyDescent="0.25">
      <c r="A8" t="s">
        <v>12</v>
      </c>
      <c r="B8">
        <v>69.099999999999994</v>
      </c>
      <c r="F8">
        <v>6</v>
      </c>
      <c r="G8">
        <v>17</v>
      </c>
      <c r="H8">
        <v>3</v>
      </c>
      <c r="I8">
        <v>17</v>
      </c>
      <c r="J8">
        <v>3</v>
      </c>
      <c r="L8">
        <v>2</v>
      </c>
      <c r="M8">
        <v>0</v>
      </c>
    </row>
    <row r="9" spans="1:13" x14ac:dyDescent="0.25">
      <c r="A9" t="s">
        <v>13</v>
      </c>
      <c r="B9">
        <v>72</v>
      </c>
      <c r="F9">
        <v>7</v>
      </c>
      <c r="G9">
        <v>7</v>
      </c>
      <c r="H9">
        <v>4</v>
      </c>
      <c r="I9">
        <v>7</v>
      </c>
      <c r="J9">
        <v>4</v>
      </c>
      <c r="L9">
        <v>3</v>
      </c>
      <c r="M9">
        <v>0</v>
      </c>
    </row>
    <row r="10" spans="1:13" x14ac:dyDescent="0.25">
      <c r="A10" t="s">
        <v>16</v>
      </c>
      <c r="B10" s="2">
        <v>1</v>
      </c>
      <c r="F10">
        <v>8</v>
      </c>
      <c r="G10">
        <v>15</v>
      </c>
      <c r="H10">
        <v>3</v>
      </c>
      <c r="I10">
        <v>15</v>
      </c>
      <c r="J10">
        <v>3</v>
      </c>
      <c r="L10">
        <v>4</v>
      </c>
      <c r="M10">
        <v>0</v>
      </c>
    </row>
    <row r="11" spans="1:13" x14ac:dyDescent="0.25">
      <c r="A11" t="s">
        <v>37</v>
      </c>
      <c r="B11">
        <v>50</v>
      </c>
      <c r="F11">
        <v>9</v>
      </c>
      <c r="G11">
        <v>13</v>
      </c>
      <c r="H11">
        <v>4</v>
      </c>
      <c r="I11">
        <v>5</v>
      </c>
      <c r="J11">
        <v>4</v>
      </c>
      <c r="L11">
        <v>5</v>
      </c>
      <c r="M11">
        <v>0</v>
      </c>
    </row>
    <row r="12" spans="1:13" x14ac:dyDescent="0.25">
      <c r="F12">
        <v>10</v>
      </c>
      <c r="G12">
        <v>10</v>
      </c>
      <c r="H12">
        <v>4</v>
      </c>
      <c r="I12">
        <v>14</v>
      </c>
      <c r="J12">
        <v>4</v>
      </c>
      <c r="L12">
        <v>6</v>
      </c>
      <c r="M12">
        <v>0</v>
      </c>
    </row>
    <row r="13" spans="1:13" x14ac:dyDescent="0.25">
      <c r="A13" t="s">
        <v>18</v>
      </c>
      <c r="F13">
        <v>11</v>
      </c>
      <c r="G13">
        <v>2</v>
      </c>
      <c r="H13">
        <v>4</v>
      </c>
      <c r="I13">
        <v>2</v>
      </c>
      <c r="J13">
        <v>4</v>
      </c>
      <c r="L13">
        <v>7</v>
      </c>
      <c r="M13">
        <v>0</v>
      </c>
    </row>
    <row r="14" spans="1:13" x14ac:dyDescent="0.25">
      <c r="A14" t="s">
        <v>19</v>
      </c>
      <c r="B14" s="9">
        <f>SUM(EntryFees)</f>
        <v>110</v>
      </c>
      <c r="F14">
        <v>12</v>
      </c>
      <c r="G14">
        <v>12</v>
      </c>
      <c r="H14">
        <v>3</v>
      </c>
      <c r="I14">
        <v>18</v>
      </c>
      <c r="J14">
        <v>3</v>
      </c>
      <c r="L14">
        <v>8</v>
      </c>
      <c r="M14">
        <v>0</v>
      </c>
    </row>
    <row r="15" spans="1:13" x14ac:dyDescent="0.25">
      <c r="A15" t="s">
        <v>20</v>
      </c>
      <c r="B15" t="s">
        <v>21</v>
      </c>
      <c r="F15">
        <v>13</v>
      </c>
      <c r="G15">
        <v>8</v>
      </c>
      <c r="H15">
        <v>4</v>
      </c>
      <c r="I15">
        <v>4</v>
      </c>
      <c r="J15">
        <v>4</v>
      </c>
      <c r="L15">
        <v>9</v>
      </c>
      <c r="M15">
        <v>0</v>
      </c>
    </row>
    <row r="16" spans="1:13" x14ac:dyDescent="0.25">
      <c r="A16">
        <v>1</v>
      </c>
      <c r="B16" s="2">
        <v>0.55000000000000004</v>
      </c>
      <c r="F16">
        <v>14</v>
      </c>
      <c r="G16">
        <v>4</v>
      </c>
      <c r="H16">
        <v>5</v>
      </c>
      <c r="I16">
        <v>6</v>
      </c>
      <c r="J16">
        <v>5</v>
      </c>
      <c r="L16">
        <v>10</v>
      </c>
      <c r="M16">
        <v>0</v>
      </c>
    </row>
    <row r="17" spans="1:10" x14ac:dyDescent="0.25">
      <c r="A17">
        <v>2</v>
      </c>
      <c r="B17" s="2">
        <v>0.3</v>
      </c>
      <c r="F17">
        <v>15</v>
      </c>
      <c r="G17">
        <v>18</v>
      </c>
      <c r="H17">
        <v>3</v>
      </c>
      <c r="I17">
        <v>16</v>
      </c>
      <c r="J17">
        <v>3</v>
      </c>
    </row>
    <row r="18" spans="1:10" x14ac:dyDescent="0.25">
      <c r="A18">
        <v>3</v>
      </c>
      <c r="B18" s="2">
        <v>0.15</v>
      </c>
      <c r="F18">
        <v>16</v>
      </c>
      <c r="G18">
        <v>14</v>
      </c>
      <c r="H18">
        <v>4</v>
      </c>
      <c r="I18">
        <v>12</v>
      </c>
      <c r="J18">
        <v>4</v>
      </c>
    </row>
    <row r="19" spans="1:10" x14ac:dyDescent="0.25">
      <c r="A19">
        <v>4</v>
      </c>
      <c r="B19" s="2">
        <v>0</v>
      </c>
      <c r="F19">
        <v>17</v>
      </c>
      <c r="G19">
        <v>16</v>
      </c>
      <c r="H19">
        <v>4</v>
      </c>
      <c r="I19">
        <v>10</v>
      </c>
      <c r="J19">
        <v>4</v>
      </c>
    </row>
    <row r="20" spans="1:10" x14ac:dyDescent="0.25">
      <c r="A20">
        <v>5</v>
      </c>
      <c r="B20" s="2">
        <v>0</v>
      </c>
      <c r="F20">
        <v>18</v>
      </c>
      <c r="G20">
        <v>6</v>
      </c>
      <c r="H20">
        <v>5</v>
      </c>
      <c r="I20">
        <v>8</v>
      </c>
      <c r="J20">
        <v>5</v>
      </c>
    </row>
    <row r="21" spans="1:10" x14ac:dyDescent="0.25">
      <c r="A21">
        <v>6</v>
      </c>
      <c r="B21" s="2">
        <v>0</v>
      </c>
      <c r="F21" t="s">
        <v>28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0" x14ac:dyDescent="0.25">
      <c r="A22">
        <v>7</v>
      </c>
      <c r="B22" s="2">
        <v>0</v>
      </c>
    </row>
    <row r="23" spans="1:10" x14ac:dyDescent="0.25">
      <c r="A23">
        <v>8</v>
      </c>
      <c r="B23" s="2">
        <v>0</v>
      </c>
    </row>
    <row r="24" spans="1:10" x14ac:dyDescent="0.25">
      <c r="A24">
        <v>9</v>
      </c>
      <c r="B24" s="2">
        <v>0</v>
      </c>
    </row>
    <row r="25" spans="1:10" x14ac:dyDescent="0.25">
      <c r="A25">
        <v>10</v>
      </c>
      <c r="B25" s="2">
        <v>0</v>
      </c>
    </row>
    <row r="26" spans="1:10" x14ac:dyDescent="0.25">
      <c r="A26">
        <v>11</v>
      </c>
      <c r="B26" s="2">
        <v>0</v>
      </c>
    </row>
    <row r="27" spans="1:10" x14ac:dyDescent="0.25">
      <c r="A27">
        <v>12</v>
      </c>
      <c r="B27" s="2">
        <v>0</v>
      </c>
    </row>
    <row r="28" spans="1:10" x14ac:dyDescent="0.25">
      <c r="A28">
        <v>13</v>
      </c>
      <c r="B28" s="2">
        <v>0</v>
      </c>
    </row>
    <row r="29" spans="1:10" x14ac:dyDescent="0.25">
      <c r="A29">
        <v>14</v>
      </c>
      <c r="B29" s="2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B8927-46FA-4AE0-A75A-DE5F783F3E3F}">
  <dimension ref="A1:E13"/>
  <sheetViews>
    <sheetView tabSelected="1" zoomScaleNormal="100" workbookViewId="0">
      <selection activeCell="D19" sqref="D19"/>
    </sheetView>
  </sheetViews>
  <sheetFormatPr defaultRowHeight="15" x14ac:dyDescent="0.25"/>
  <cols>
    <col min="1" max="1" width="32" bestFit="1" customWidth="1"/>
    <col min="2" max="2" width="9.140625" style="1"/>
  </cols>
  <sheetData>
    <row r="1" spans="1:5" x14ac:dyDescent="0.25">
      <c r="A1" t="s">
        <v>65</v>
      </c>
    </row>
    <row r="2" spans="1:5" x14ac:dyDescent="0.25">
      <c r="A2" t="str" cm="1">
        <f t="array" ref="A2:B12">_xlfn._xlws.SORT(_xlfn._xlws.FILTER(_xlfn._xlws.FILTER(Scoresheet!A9:V63,ISNUMBER(SEARCH("Stableford",Scoresheet!A9:A63,1)),""),{1,0,0,0,0,0,0,0,0,0,0,0,0,0,0,0,0,0,0,0,0,1},""),2,-1)</f>
        <v>Jabob Skora Stableford Points</v>
      </c>
      <c r="B2" s="1">
        <v>5</v>
      </c>
      <c r="C2">
        <f>IF(B2&lt;&gt;"",IF(ISNA(_xlfn.RANK.EQ(B2,$B$2:$B$20)),"",_xlfn.RANK.EQ(B2,$B$2:$B$20)),"")</f>
        <v>1</v>
      </c>
      <c r="D2" t="str">
        <f>IF(C2="","",IF(COUNTIF($C$2:$C$20,C2)&gt;1,CONCATENATE("T",C2),TEXT(C2,"0")))</f>
        <v>1</v>
      </c>
      <c r="E2" s="12">
        <f t="shared" ref="E2" ca="1" si="0">IF(C2="","",IF(ISNA(VLOOKUP(C2,PlacePayouts,1,FALSE)),0,AVERAGE(OFFSET(PlacePayouts,VLOOKUP(C2,PlacePayouts,1,FALSE)-1,1,COUNTIF(C:C,C2)))*Kitty))</f>
        <v>60.500000000000007</v>
      </c>
    </row>
    <row r="3" spans="1:5" x14ac:dyDescent="0.25">
      <c r="A3" t="str">
        <v>Sam Ferris Stableford Points</v>
      </c>
      <c r="B3" s="11">
        <v>2</v>
      </c>
      <c r="C3">
        <f t="shared" ref="C3:C13" si="1">IF(B3&lt;&gt;"",IF(ISNA(_xlfn.RANK.EQ(B3,$B$2:$B$20)),"",_xlfn.RANK.EQ(B3,$B$2:$B$20)),"")</f>
        <v>2</v>
      </c>
      <c r="D3" t="str">
        <f t="shared" ref="D3:D13" si="2">IF(C3="","",IF(COUNTIF($C$2:$C$20,C3)&gt;1,CONCATENATE("T",C3),TEXT(C3,"0")))</f>
        <v>T2</v>
      </c>
      <c r="E3" s="12">
        <f t="shared" ref="E3:E13" ca="1" si="3">IF(C3="","",IF(ISNA(VLOOKUP(C3,PlacePayouts,1,FALSE)),0,AVERAGE(OFFSET(PlacePayouts,VLOOKUP(C3,PlacePayouts,1,FALSE)-1,1,COUNTIF(C:C,C3)))*Kitty))</f>
        <v>24.749999999999996</v>
      </c>
    </row>
    <row r="4" spans="1:5" x14ac:dyDescent="0.25">
      <c r="A4" t="str">
        <v>Dawn Ferris Stableford Points</v>
      </c>
      <c r="B4" s="11">
        <v>2</v>
      </c>
      <c r="C4">
        <f t="shared" si="1"/>
        <v>2</v>
      </c>
      <c r="D4" t="str">
        <f t="shared" si="2"/>
        <v>T2</v>
      </c>
      <c r="E4" s="12">
        <f t="shared" ca="1" si="3"/>
        <v>24.749999999999996</v>
      </c>
    </row>
    <row r="5" spans="1:5" x14ac:dyDescent="0.25">
      <c r="A5" t="str">
        <v>Chris Lundhagen Stableford Points</v>
      </c>
      <c r="B5" s="1">
        <v>0</v>
      </c>
      <c r="C5">
        <f t="shared" si="1"/>
        <v>4</v>
      </c>
      <c r="D5" t="str">
        <f t="shared" si="2"/>
        <v>4</v>
      </c>
      <c r="E5" s="12">
        <f t="shared" ca="1" si="3"/>
        <v>0</v>
      </c>
    </row>
    <row r="6" spans="1:5" x14ac:dyDescent="0.25">
      <c r="A6" t="str">
        <v>Travis Hubbard Stableford Points</v>
      </c>
      <c r="B6" s="1">
        <v>-2</v>
      </c>
      <c r="C6">
        <f t="shared" si="1"/>
        <v>5</v>
      </c>
      <c r="D6" t="str">
        <f t="shared" si="2"/>
        <v>5</v>
      </c>
      <c r="E6" s="12">
        <f t="shared" ca="1" si="3"/>
        <v>0</v>
      </c>
    </row>
    <row r="7" spans="1:5" x14ac:dyDescent="0.25">
      <c r="A7" t="str">
        <v>Scott O'Hare Stableford Points</v>
      </c>
      <c r="B7" s="1">
        <v>-3</v>
      </c>
      <c r="C7">
        <f t="shared" si="1"/>
        <v>6</v>
      </c>
      <c r="D7" t="str">
        <f t="shared" si="2"/>
        <v>6</v>
      </c>
      <c r="E7" s="12">
        <f t="shared" ca="1" si="3"/>
        <v>0</v>
      </c>
    </row>
    <row r="8" spans="1:5" x14ac:dyDescent="0.25">
      <c r="A8" t="str">
        <v>Pete Friesen Stableford Points</v>
      </c>
      <c r="B8" s="1">
        <v>-4</v>
      </c>
      <c r="C8">
        <f t="shared" si="1"/>
        <v>7</v>
      </c>
      <c r="D8" t="str">
        <f t="shared" si="2"/>
        <v>7</v>
      </c>
      <c r="E8" s="12">
        <f t="shared" ca="1" si="3"/>
        <v>0</v>
      </c>
    </row>
    <row r="9" spans="1:5" x14ac:dyDescent="0.25">
      <c r="A9" t="str">
        <v>Marcus Fast Stableford Points</v>
      </c>
      <c r="B9" s="1">
        <v>-5</v>
      </c>
      <c r="C9">
        <f t="shared" si="1"/>
        <v>8</v>
      </c>
      <c r="D9" t="str">
        <f t="shared" si="2"/>
        <v>T8</v>
      </c>
      <c r="E9" s="12">
        <f t="shared" ca="1" si="3"/>
        <v>0</v>
      </c>
    </row>
    <row r="10" spans="1:5" x14ac:dyDescent="0.25">
      <c r="A10" t="str">
        <v>Vicki Hubbard Stableford Points</v>
      </c>
      <c r="B10" s="1">
        <v>-5</v>
      </c>
      <c r="C10">
        <f t="shared" si="1"/>
        <v>8</v>
      </c>
      <c r="D10" t="str">
        <f t="shared" si="2"/>
        <v>T8</v>
      </c>
      <c r="E10" s="12">
        <f t="shared" ca="1" si="3"/>
        <v>0</v>
      </c>
    </row>
    <row r="11" spans="1:5" x14ac:dyDescent="0.25">
      <c r="A11" t="str">
        <v>John Allen Stableford Points</v>
      </c>
      <c r="B11" s="1">
        <v>-6</v>
      </c>
      <c r="C11">
        <f t="shared" si="1"/>
        <v>10</v>
      </c>
      <c r="D11" t="str">
        <f t="shared" si="2"/>
        <v>10</v>
      </c>
      <c r="E11" s="12">
        <f t="shared" ca="1" si="3"/>
        <v>0</v>
      </c>
    </row>
    <row r="12" spans="1:5" x14ac:dyDescent="0.25">
      <c r="A12" t="str">
        <v>Curt Balcerzak Stableford Points</v>
      </c>
      <c r="B12" s="1">
        <v>-10</v>
      </c>
      <c r="C12">
        <f t="shared" si="1"/>
        <v>11</v>
      </c>
      <c r="D12" t="str">
        <f t="shared" si="2"/>
        <v>11</v>
      </c>
      <c r="E12" s="12">
        <f t="shared" ca="1" si="3"/>
        <v>0</v>
      </c>
    </row>
    <row r="13" spans="1:5" x14ac:dyDescent="0.25">
      <c r="C13" t="str">
        <f t="shared" si="1"/>
        <v/>
      </c>
      <c r="D13" t="str">
        <f t="shared" si="2"/>
        <v/>
      </c>
      <c r="E13" s="12" t="str">
        <f t="shared" ca="1" si="3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22</vt:i4>
      </vt:variant>
    </vt:vector>
  </HeadingPairs>
  <TitlesOfParts>
    <vt:vector size="26" baseType="lpstr">
      <vt:lpstr>Scoresheet</vt:lpstr>
      <vt:lpstr>Players</vt:lpstr>
      <vt:lpstr>Course &amp; Tourney</vt:lpstr>
      <vt:lpstr>Results</vt:lpstr>
      <vt:lpstr>EntryFees</vt:lpstr>
      <vt:lpstr>Handicap_Allowance</vt:lpstr>
      <vt:lpstr>HoleHandicapF</vt:lpstr>
      <vt:lpstr>HoleHandicapM</vt:lpstr>
      <vt:lpstr>HoleInfo</vt:lpstr>
      <vt:lpstr>HoleParF</vt:lpstr>
      <vt:lpstr>HoleParM</vt:lpstr>
      <vt:lpstr>Kitty</vt:lpstr>
      <vt:lpstr>Max_Handicap</vt:lpstr>
      <vt:lpstr>MensTees</vt:lpstr>
      <vt:lpstr>PlacePayouts</vt:lpstr>
      <vt:lpstr>PlayerGender</vt:lpstr>
      <vt:lpstr>PlayerHandicaps</vt:lpstr>
      <vt:lpstr>PlayerNames</vt:lpstr>
      <vt:lpstr>PlayerPlayerNo</vt:lpstr>
      <vt:lpstr>PlayersTees</vt:lpstr>
      <vt:lpstr>PlayerTees</vt:lpstr>
      <vt:lpstr>Players!Print_Area</vt:lpstr>
      <vt:lpstr>Results!Print_Area</vt:lpstr>
      <vt:lpstr>Scoresheet!Print_Area</vt:lpstr>
      <vt:lpstr>Stableford_Points</vt:lpstr>
      <vt:lpstr>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2023-08-09T17:19:54Z</cp:lastPrinted>
  <dcterms:created xsi:type="dcterms:W3CDTF">2020-11-08T06:36:47Z</dcterms:created>
  <dcterms:modified xsi:type="dcterms:W3CDTF">2023-08-09T17:20:02Z</dcterms:modified>
</cp:coreProperties>
</file>