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233" documentId="8_{EE9956E8-F785-48C0-AA8F-ED904D9CFE5F}" xr6:coauthVersionLast="47" xr6:coauthVersionMax="47" xr10:uidLastSave="{CBB1D741-2DFC-B446-AD71-93982DD93070}"/>
  <bookViews>
    <workbookView xWindow="-120" yWindow="-120" windowWidth="29040" windowHeight="15840" activeTab="5" xr2:uid="{880D7685-431A-41D2-A8D1-E4D187F5A7EF}"/>
  </bookViews>
  <sheets>
    <sheet name="Scoresheet Team 1" sheetId="1" r:id="rId1"/>
    <sheet name="Scoresheet Team 2" sheetId="6" r:id="rId2"/>
    <sheet name="Scoresheet Team 3" sheetId="7" r:id="rId3"/>
    <sheet name="Players" sheetId="2" r:id="rId4"/>
    <sheet name="Course &amp; Tourney" sheetId="3" r:id="rId5"/>
    <sheet name="Results" sheetId="4" r:id="rId6"/>
  </sheets>
  <definedNames>
    <definedName name="EntryFees">Players!$G$2:$G$13</definedName>
    <definedName name="HandicapAllowance">'Course &amp; Tourney'!$B$10</definedName>
    <definedName name="HoleHandicapF">'Course &amp; Tourney'!$I$3:$I$20</definedName>
    <definedName name="HoleHandicapM">'Course &amp; Tourney'!$G$3:$G$20</definedName>
    <definedName name="HoleInfo">'Course &amp; Tourney'!$F$3:$F$20</definedName>
    <definedName name="HoleParF">'Course &amp; Tourney'!$J$3:$J$20</definedName>
    <definedName name="HoleParM">'Course &amp; Tourney'!$H$3:$H$20</definedName>
    <definedName name="Kitty">'Course &amp; Tourney'!$B$14</definedName>
    <definedName name="Max_Handicap">'Course &amp; Tourney'!$B$11</definedName>
    <definedName name="MaxIndex">'Course &amp; Tourney'!$B$11</definedName>
    <definedName name="MensTees">'Course &amp; Tourney'!$B$2:$E$5</definedName>
    <definedName name="PlacePayouts">'Course &amp; Tourney'!$A$16:$B$21</definedName>
    <definedName name="PlayerGender">Players!$E$2:$E$13</definedName>
    <definedName name="PlayerHandicaps">Players!$B$2:$B$13</definedName>
    <definedName name="PlayerNames">Players!$A$2:$A$13</definedName>
    <definedName name="PlayerPlayerNo">Players!$C$2:$C$13</definedName>
    <definedName name="PlayerTees">Players!$F$2:$F$13</definedName>
    <definedName name="WomensTees">'Course &amp; Tourney'!$B$6:$E$9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" i="6" l="1"/>
  <c r="J6" i="7"/>
  <c r="O5" i="1"/>
  <c r="O9" i="1"/>
  <c r="O13" i="1"/>
  <c r="O17" i="1"/>
  <c r="A23" i="7"/>
  <c r="A23" i="6"/>
  <c r="F4" i="1" a="1"/>
  <c r="F4" i="1"/>
  <c r="G4" i="1" a="1"/>
  <c r="G4" i="1"/>
  <c r="H4" i="1" a="1"/>
  <c r="H4" i="1"/>
  <c r="I4" i="1" a="1"/>
  <c r="I4" i="1"/>
  <c r="J4" i="1" a="1"/>
  <c r="J4" i="1"/>
  <c r="K4" i="1" a="1"/>
  <c r="K4" i="1"/>
  <c r="L4" i="1" a="1"/>
  <c r="L4" i="1"/>
  <c r="M4" i="1" a="1"/>
  <c r="M4" i="1"/>
  <c r="N4" i="1" a="1"/>
  <c r="N4" i="1"/>
  <c r="P4" i="1" a="1"/>
  <c r="P4" i="1"/>
  <c r="Q4" i="1" a="1"/>
  <c r="Q4" i="1"/>
  <c r="R4" i="1" a="1"/>
  <c r="R4" i="1"/>
  <c r="S4" i="1" a="1"/>
  <c r="S4" i="1"/>
  <c r="T4" i="1" a="1"/>
  <c r="T4" i="1"/>
  <c r="U4" i="1" a="1"/>
  <c r="U4" i="1"/>
  <c r="V4" i="1" a="1"/>
  <c r="V4" i="1"/>
  <c r="W4" i="1" a="1"/>
  <c r="W4" i="1"/>
  <c r="X4" i="1" a="1"/>
  <c r="X4" i="1"/>
  <c r="A23" i="1"/>
  <c r="A19" i="7" a="1"/>
  <c r="A19" i="7"/>
  <c r="A18" i="7" a="1"/>
  <c r="A18" i="7"/>
  <c r="Z17" i="7"/>
  <c r="Y17" i="7"/>
  <c r="O17" i="7"/>
  <c r="A17" i="7" a="1"/>
  <c r="A17" i="7"/>
  <c r="C16" i="7" a="1"/>
  <c r="C16" i="7"/>
  <c r="B16" i="7" a="1"/>
  <c r="B16" i="7"/>
  <c r="A16" i="7" a="1"/>
  <c r="A16" i="7"/>
  <c r="A15" i="7" a="1"/>
  <c r="A15" i="7"/>
  <c r="A14" i="7" a="1"/>
  <c r="A14" i="7"/>
  <c r="Z13" i="7"/>
  <c r="Y13" i="7"/>
  <c r="O13" i="7"/>
  <c r="A13" i="7" a="1"/>
  <c r="A13" i="7"/>
  <c r="C12" i="7" a="1"/>
  <c r="C12" i="7"/>
  <c r="B12" i="7" a="1"/>
  <c r="B12" i="7"/>
  <c r="A12" i="7" a="1"/>
  <c r="A12" i="7"/>
  <c r="A11" i="7" a="1"/>
  <c r="A11" i="7"/>
  <c r="A10" i="7" a="1"/>
  <c r="A10" i="7"/>
  <c r="Z9" i="7"/>
  <c r="Y9" i="7"/>
  <c r="O9" i="7"/>
  <c r="A9" i="7" a="1"/>
  <c r="A9" i="7"/>
  <c r="C8" i="7" a="1"/>
  <c r="C8" i="7"/>
  <c r="B8" i="7" a="1"/>
  <c r="B8" i="7"/>
  <c r="A8" i="7" a="1"/>
  <c r="A8" i="7"/>
  <c r="A7" i="7" a="1"/>
  <c r="A7" i="7"/>
  <c r="A6" i="7" a="1"/>
  <c r="A6" i="7"/>
  <c r="Z5" i="7"/>
  <c r="Y5" i="7"/>
  <c r="O5" i="7"/>
  <c r="A5" i="7" a="1"/>
  <c r="A5" i="7"/>
  <c r="C4" i="7" a="1"/>
  <c r="C4" i="7"/>
  <c r="B4" i="7" a="1"/>
  <c r="B4" i="7"/>
  <c r="A4" i="7" a="1"/>
  <c r="A4" i="7"/>
  <c r="X3" i="7" a="1"/>
  <c r="X3" i="7"/>
  <c r="W3" i="7" a="1"/>
  <c r="W3" i="7"/>
  <c r="V3" i="7" a="1"/>
  <c r="V3" i="7"/>
  <c r="U3" i="7" a="1"/>
  <c r="U3" i="7"/>
  <c r="T3" i="7" a="1"/>
  <c r="T3" i="7"/>
  <c r="S3" i="7" a="1"/>
  <c r="S3" i="7"/>
  <c r="R3" i="7" a="1"/>
  <c r="R3" i="7"/>
  <c r="Q3" i="7" a="1"/>
  <c r="Q3" i="7"/>
  <c r="P3" i="7" a="1"/>
  <c r="P3" i="7"/>
  <c r="N3" i="7"/>
  <c r="N3" i="7" a="1"/>
  <c r="M3" i="7" a="1"/>
  <c r="M3" i="7"/>
  <c r="L3" i="7" a="1"/>
  <c r="L3" i="7"/>
  <c r="K3" i="7" a="1"/>
  <c r="K3" i="7"/>
  <c r="J3" i="7" a="1"/>
  <c r="J3" i="7"/>
  <c r="I3" i="7" a="1"/>
  <c r="I3" i="7"/>
  <c r="H3" i="7" a="1"/>
  <c r="H3" i="7"/>
  <c r="G3" i="7" a="1"/>
  <c r="G3" i="7"/>
  <c r="F3" i="7" a="1"/>
  <c r="F3" i="7"/>
  <c r="D16" i="6" a="1"/>
  <c r="D16" i="6"/>
  <c r="D12" i="6" a="1"/>
  <c r="D12" i="6"/>
  <c r="D8" i="6" a="1"/>
  <c r="D8" i="6"/>
  <c r="D4" i="6" a="1"/>
  <c r="D4" i="6"/>
  <c r="B16" i="6" a="1"/>
  <c r="B16" i="6"/>
  <c r="B12" i="6" a="1"/>
  <c r="B12" i="6"/>
  <c r="B8" i="6" a="1"/>
  <c r="B8" i="6"/>
  <c r="B4" i="6" a="1"/>
  <c r="B4" i="6"/>
  <c r="B16" i="1" a="1"/>
  <c r="B16" i="1"/>
  <c r="B12" i="1" a="1"/>
  <c r="B12" i="1"/>
  <c r="B8" i="1" a="1"/>
  <c r="B8" i="1"/>
  <c r="D8" i="1" a="1"/>
  <c r="D8" i="1"/>
  <c r="B4" i="1" a="1"/>
  <c r="B4" i="1"/>
  <c r="A4" i="1" a="1"/>
  <c r="A4" i="1"/>
  <c r="A19" i="6"/>
  <c r="A19" i="6" a="1"/>
  <c r="A18" i="6" a="1"/>
  <c r="A18" i="6"/>
  <c r="Z17" i="6"/>
  <c r="Y17" i="6"/>
  <c r="O17" i="6"/>
  <c r="A17" i="6" a="1"/>
  <c r="A17" i="6"/>
  <c r="C16" i="6" a="1"/>
  <c r="C16" i="6"/>
  <c r="A16" i="6" a="1"/>
  <c r="A16" i="6"/>
  <c r="A15" i="6" a="1"/>
  <c r="A15" i="6"/>
  <c r="A14" i="6" a="1"/>
  <c r="A14" i="6"/>
  <c r="Z13" i="6"/>
  <c r="Y13" i="6"/>
  <c r="O13" i="6"/>
  <c r="A13" i="6" a="1"/>
  <c r="A13" i="6"/>
  <c r="C12" i="6" a="1"/>
  <c r="C12" i="6"/>
  <c r="A12" i="6" a="1"/>
  <c r="A12" i="6"/>
  <c r="A11" i="6" a="1"/>
  <c r="A11" i="6"/>
  <c r="A10" i="6" a="1"/>
  <c r="A10" i="6"/>
  <c r="Z9" i="6"/>
  <c r="Y9" i="6"/>
  <c r="O9" i="6"/>
  <c r="A9" i="6"/>
  <c r="A9" i="6" a="1"/>
  <c r="C8" i="6" a="1"/>
  <c r="C8" i="6"/>
  <c r="A8" i="6"/>
  <c r="A8" i="6" a="1"/>
  <c r="A7" i="6" a="1"/>
  <c r="A7" i="6"/>
  <c r="A6" i="6" a="1"/>
  <c r="A6" i="6"/>
  <c r="Z5" i="6"/>
  <c r="Y5" i="6"/>
  <c r="O5" i="6"/>
  <c r="A5" i="6" a="1"/>
  <c r="A5" i="6"/>
  <c r="C4" i="6" a="1"/>
  <c r="C4" i="6"/>
  <c r="A4" i="6" a="1"/>
  <c r="A4" i="6"/>
  <c r="X3" i="6" a="1"/>
  <c r="X3" i="6"/>
  <c r="W3" i="6" a="1"/>
  <c r="W3" i="6"/>
  <c r="V3" i="6"/>
  <c r="V3" i="6" a="1"/>
  <c r="U3" i="6" a="1"/>
  <c r="U3" i="6"/>
  <c r="T3" i="6" a="1"/>
  <c r="T3" i="6"/>
  <c r="S3" i="6" a="1"/>
  <c r="S3" i="6"/>
  <c r="R3" i="6"/>
  <c r="R3" i="6" a="1"/>
  <c r="Q3" i="6" a="1"/>
  <c r="Q3" i="6"/>
  <c r="P3" i="6" a="1"/>
  <c r="P3" i="6"/>
  <c r="N3" i="6" a="1"/>
  <c r="N3" i="6"/>
  <c r="M3" i="6"/>
  <c r="M3" i="6" a="1"/>
  <c r="L3" i="6" a="1"/>
  <c r="L3" i="6"/>
  <c r="K3" i="6"/>
  <c r="K3" i="6" a="1"/>
  <c r="J3" i="6" a="1"/>
  <c r="J3" i="6"/>
  <c r="I3" i="6"/>
  <c r="I3" i="6" a="1"/>
  <c r="H3" i="6" a="1"/>
  <c r="H3" i="6"/>
  <c r="G3" i="6"/>
  <c r="G3" i="6" a="1"/>
  <c r="F3" i="6" a="1"/>
  <c r="F3" i="6"/>
  <c r="W16" i="1" a="1"/>
  <c r="W16" i="1"/>
  <c r="N16" i="1" a="1"/>
  <c r="N16" i="1"/>
  <c r="F16" i="1" a="1"/>
  <c r="F16" i="1"/>
  <c r="S8" i="1" a="1"/>
  <c r="S8" i="1"/>
  <c r="J8" i="1" a="1"/>
  <c r="J8" i="1"/>
  <c r="C16" i="1" a="1"/>
  <c r="C16" i="1"/>
  <c r="V16" i="1" a="1"/>
  <c r="V16" i="1"/>
  <c r="C12" i="1" a="1"/>
  <c r="C12" i="1"/>
  <c r="X12" i="1" a="1"/>
  <c r="X12" i="1"/>
  <c r="C8" i="1" a="1"/>
  <c r="C8" i="1"/>
  <c r="R8" i="1" a="1"/>
  <c r="R8" i="1"/>
  <c r="C4" i="1" a="1"/>
  <c r="C4" i="1"/>
  <c r="D4" i="1" a="1"/>
  <c r="D4" i="1"/>
  <c r="A19" i="1" a="1"/>
  <c r="A19" i="1"/>
  <c r="A18" i="1" a="1"/>
  <c r="A18" i="1"/>
  <c r="A17" i="1" a="1"/>
  <c r="A17" i="1"/>
  <c r="A16" i="1" a="1"/>
  <c r="A16" i="1"/>
  <c r="A15" i="1" a="1"/>
  <c r="A15" i="1"/>
  <c r="A14" i="1" a="1"/>
  <c r="A14" i="1"/>
  <c r="A13" i="1" a="1"/>
  <c r="A13" i="1"/>
  <c r="A12" i="1" a="1"/>
  <c r="A12" i="1"/>
  <c r="A11" i="1" a="1"/>
  <c r="A11" i="1"/>
  <c r="A10" i="1" a="1"/>
  <c r="A10" i="1"/>
  <c r="A9" i="1" a="1"/>
  <c r="A9" i="1"/>
  <c r="A8" i="1" a="1"/>
  <c r="A8" i="1"/>
  <c r="A7" i="1" a="1"/>
  <c r="A7" i="1"/>
  <c r="A6" i="1" a="1"/>
  <c r="A6" i="1"/>
  <c r="A5" i="1" a="1"/>
  <c r="A5" i="1"/>
  <c r="Z17" i="1"/>
  <c r="Y17" i="1"/>
  <c r="Z13" i="1"/>
  <c r="Y13" i="1"/>
  <c r="Z9" i="1"/>
  <c r="Y9" i="1"/>
  <c r="Z5" i="1"/>
  <c r="Y5" i="1"/>
  <c r="X3" i="1" a="1"/>
  <c r="X3" i="1"/>
  <c r="W3" i="1" a="1"/>
  <c r="W3" i="1"/>
  <c r="V3" i="1" a="1"/>
  <c r="V3" i="1"/>
  <c r="U3" i="1" a="1"/>
  <c r="U3" i="1"/>
  <c r="T3" i="1" a="1"/>
  <c r="T3" i="1"/>
  <c r="S3" i="1" a="1"/>
  <c r="S3" i="1"/>
  <c r="R3" i="1" a="1"/>
  <c r="R3" i="1"/>
  <c r="Q3" i="1" a="1"/>
  <c r="Q3" i="1"/>
  <c r="P3" i="1" a="1"/>
  <c r="P3" i="1"/>
  <c r="N3" i="1" a="1"/>
  <c r="N3" i="1"/>
  <c r="M3" i="1" a="1"/>
  <c r="M3" i="1"/>
  <c r="L3" i="1" a="1"/>
  <c r="L3" i="1"/>
  <c r="K3" i="1" a="1"/>
  <c r="K3" i="1"/>
  <c r="J3" i="1" a="1"/>
  <c r="J3" i="1"/>
  <c r="I3" i="1" a="1"/>
  <c r="I3" i="1"/>
  <c r="H3" i="1" a="1"/>
  <c r="H3" i="1"/>
  <c r="G3" i="1" a="1"/>
  <c r="G3" i="1"/>
  <c r="F3" i="1" a="1"/>
  <c r="F3" i="1"/>
  <c r="Y3" i="7"/>
  <c r="K8" i="1" a="1"/>
  <c r="K8" i="1"/>
  <c r="T8" i="1" a="1"/>
  <c r="T8" i="1"/>
  <c r="I12" i="1" a="1"/>
  <c r="I12" i="1"/>
  <c r="R12" i="1" a="1"/>
  <c r="R12" i="1"/>
  <c r="G16" i="1" a="1"/>
  <c r="G16" i="1"/>
  <c r="P16" i="1" a="1"/>
  <c r="P16" i="1"/>
  <c r="X16" i="1" a="1"/>
  <c r="X16" i="1"/>
  <c r="D12" i="1" a="1"/>
  <c r="D12" i="1"/>
  <c r="L8" i="1" a="1"/>
  <c r="L8" i="1"/>
  <c r="U8" i="1" a="1"/>
  <c r="U8" i="1"/>
  <c r="J12" i="1" a="1"/>
  <c r="J12" i="1"/>
  <c r="S12" i="1" a="1"/>
  <c r="S12" i="1"/>
  <c r="H16" i="1" a="1"/>
  <c r="H16" i="1"/>
  <c r="Q16" i="1" a="1"/>
  <c r="Q16" i="1"/>
  <c r="D16" i="1" a="1"/>
  <c r="D16" i="1"/>
  <c r="H12" i="1" a="1"/>
  <c r="H12" i="1"/>
  <c r="M8" i="1" a="1"/>
  <c r="M8" i="1"/>
  <c r="V8" i="1" a="1"/>
  <c r="V8" i="1"/>
  <c r="K12" i="1" a="1"/>
  <c r="K12" i="1"/>
  <c r="T12" i="1" a="1"/>
  <c r="T12" i="1"/>
  <c r="I16" i="1" a="1"/>
  <c r="I16" i="1"/>
  <c r="R16" i="1" a="1"/>
  <c r="R16" i="1"/>
  <c r="Q12" i="1" a="1"/>
  <c r="Q12" i="1"/>
  <c r="F8" i="1" a="1"/>
  <c r="F8" i="1"/>
  <c r="N8" i="1" a="1"/>
  <c r="N8" i="1"/>
  <c r="W8" i="1" a="1"/>
  <c r="W8" i="1"/>
  <c r="L12" i="1" a="1"/>
  <c r="L12" i="1"/>
  <c r="U12" i="1" a="1"/>
  <c r="U12" i="1"/>
  <c r="J16" i="1" a="1"/>
  <c r="J16" i="1"/>
  <c r="S16" i="1" a="1"/>
  <c r="S16" i="1"/>
  <c r="G8" i="1" a="1"/>
  <c r="G8" i="1"/>
  <c r="P8" i="1" a="1"/>
  <c r="P8" i="1"/>
  <c r="X8" i="1" a="1"/>
  <c r="X8" i="1"/>
  <c r="M12" i="1" a="1"/>
  <c r="M12" i="1"/>
  <c r="V12" i="1" a="1"/>
  <c r="V12" i="1"/>
  <c r="K16" i="1" a="1"/>
  <c r="K16" i="1"/>
  <c r="T16" i="1" a="1"/>
  <c r="T16" i="1"/>
  <c r="H8" i="1" a="1"/>
  <c r="H8" i="1"/>
  <c r="Q8" i="1" a="1"/>
  <c r="Q8" i="1"/>
  <c r="F12" i="1" a="1"/>
  <c r="F12" i="1"/>
  <c r="N12" i="1" a="1"/>
  <c r="N12" i="1"/>
  <c r="W12" i="1" a="1"/>
  <c r="W12" i="1"/>
  <c r="L16" i="1" a="1"/>
  <c r="L16" i="1"/>
  <c r="U16" i="1" a="1"/>
  <c r="U16" i="1"/>
  <c r="I8" i="1" a="1"/>
  <c r="I8" i="1"/>
  <c r="G12" i="1" a="1"/>
  <c r="G12" i="1"/>
  <c r="P12" i="1" a="1"/>
  <c r="P12" i="1"/>
  <c r="M16" i="1" a="1"/>
  <c r="M16" i="1"/>
  <c r="V4" i="7" a="1"/>
  <c r="V4" i="7"/>
  <c r="R4" i="7" a="1"/>
  <c r="R4" i="7"/>
  <c r="M4" i="7" a="1"/>
  <c r="M4" i="7"/>
  <c r="I4" i="7" a="1"/>
  <c r="I4" i="7"/>
  <c r="Q4" i="7" a="1"/>
  <c r="Q4" i="7"/>
  <c r="D4" i="7" a="1"/>
  <c r="D4" i="7"/>
  <c r="E4" i="7"/>
  <c r="U4" i="7" a="1"/>
  <c r="U4" i="7"/>
  <c r="L4" i="7" a="1"/>
  <c r="L4" i="7"/>
  <c r="X4" i="7" a="1"/>
  <c r="X4" i="7"/>
  <c r="T4" i="7" a="1"/>
  <c r="T4" i="7"/>
  <c r="P4" i="7" a="1"/>
  <c r="P4" i="7"/>
  <c r="K4" i="7" a="1"/>
  <c r="K4" i="7"/>
  <c r="G4" i="7" a="1"/>
  <c r="G4" i="7"/>
  <c r="W4" i="7" a="1"/>
  <c r="W4" i="7"/>
  <c r="S4" i="7" a="1"/>
  <c r="S4" i="7"/>
  <c r="N4" i="7" a="1"/>
  <c r="N4" i="7"/>
  <c r="J4" i="7" a="1"/>
  <c r="J4" i="7"/>
  <c r="F4" i="7" a="1"/>
  <c r="F4" i="7"/>
  <c r="H4" i="7" a="1"/>
  <c r="H4" i="7"/>
  <c r="V8" i="7" a="1"/>
  <c r="V8" i="7"/>
  <c r="R8" i="7" a="1"/>
  <c r="R8" i="7"/>
  <c r="M8" i="7" a="1"/>
  <c r="M8" i="7"/>
  <c r="I8" i="7" a="1"/>
  <c r="I8" i="7"/>
  <c r="D8" i="7" a="1"/>
  <c r="D8" i="7"/>
  <c r="E8" i="7"/>
  <c r="U8" i="7" a="1"/>
  <c r="U8" i="7"/>
  <c r="Q8" i="7" a="1"/>
  <c r="Q8" i="7"/>
  <c r="L8" i="7" a="1"/>
  <c r="L8" i="7"/>
  <c r="H8" i="7" a="1"/>
  <c r="H8" i="7"/>
  <c r="X8" i="7" a="1"/>
  <c r="X8" i="7"/>
  <c r="T8" i="7" a="1"/>
  <c r="T8" i="7"/>
  <c r="P8" i="7" a="1"/>
  <c r="P8" i="7"/>
  <c r="K8" i="7" a="1"/>
  <c r="K8" i="7"/>
  <c r="G8" i="7" a="1"/>
  <c r="G8" i="7"/>
  <c r="W8" i="7" a="1"/>
  <c r="W8" i="7"/>
  <c r="S8" i="7" a="1"/>
  <c r="S8" i="7"/>
  <c r="N8" i="7" a="1"/>
  <c r="N8" i="7"/>
  <c r="J8" i="7" a="1"/>
  <c r="J8" i="7"/>
  <c r="F8" i="7" a="1"/>
  <c r="F8" i="7"/>
  <c r="V16" i="7" a="1"/>
  <c r="V16" i="7"/>
  <c r="R16" i="7" a="1"/>
  <c r="R16" i="7"/>
  <c r="M16" i="7" a="1"/>
  <c r="M16" i="7"/>
  <c r="I16" i="7" a="1"/>
  <c r="I16" i="7"/>
  <c r="U16" i="7" a="1"/>
  <c r="U16" i="7"/>
  <c r="D16" i="7" a="1"/>
  <c r="D16" i="7"/>
  <c r="E16" i="7"/>
  <c r="L16" i="7" a="1"/>
  <c r="L16" i="7"/>
  <c r="Q16" i="7" a="1"/>
  <c r="Q16" i="7"/>
  <c r="H16" i="7" a="1"/>
  <c r="H16" i="7"/>
  <c r="X16" i="7" a="1"/>
  <c r="X16" i="7"/>
  <c r="T16" i="7" a="1"/>
  <c r="T16" i="7"/>
  <c r="P16" i="7" a="1"/>
  <c r="P16" i="7"/>
  <c r="K16" i="7" a="1"/>
  <c r="K16" i="7"/>
  <c r="G16" i="7" a="1"/>
  <c r="G16" i="7"/>
  <c r="W16" i="7" a="1"/>
  <c r="W16" i="7"/>
  <c r="S16" i="7" a="1"/>
  <c r="S16" i="7"/>
  <c r="N16" i="7" a="1"/>
  <c r="N16" i="7"/>
  <c r="J16" i="7" a="1"/>
  <c r="J16" i="7"/>
  <c r="F16" i="7" a="1"/>
  <c r="F16" i="7"/>
  <c r="Z3" i="7"/>
  <c r="O3" i="7"/>
  <c r="V12" i="7" a="1"/>
  <c r="V12" i="7"/>
  <c r="R12" i="7" a="1"/>
  <c r="R12" i="7"/>
  <c r="M12" i="7" a="1"/>
  <c r="M12" i="7"/>
  <c r="I12" i="7" a="1"/>
  <c r="I12" i="7"/>
  <c r="D12" i="7" a="1"/>
  <c r="D12" i="7"/>
  <c r="E12" i="7"/>
  <c r="U12" i="7" a="1"/>
  <c r="U12" i="7"/>
  <c r="Q12" i="7" a="1"/>
  <c r="Q12" i="7"/>
  <c r="L12" i="7" a="1"/>
  <c r="L12" i="7"/>
  <c r="H12" i="7" a="1"/>
  <c r="H12" i="7"/>
  <c r="X12" i="7" a="1"/>
  <c r="X12" i="7"/>
  <c r="T12" i="7" a="1"/>
  <c r="T12" i="7"/>
  <c r="P12" i="7" a="1"/>
  <c r="P12" i="7"/>
  <c r="K12" i="7" a="1"/>
  <c r="K12" i="7"/>
  <c r="G12" i="7" a="1"/>
  <c r="G12" i="7"/>
  <c r="W12" i="7" a="1"/>
  <c r="W12" i="7"/>
  <c r="S12" i="7" a="1"/>
  <c r="S12" i="7"/>
  <c r="N12" i="7" a="1"/>
  <c r="N12" i="7"/>
  <c r="J12" i="7" a="1"/>
  <c r="J12" i="7"/>
  <c r="F12" i="7" a="1"/>
  <c r="F12" i="7"/>
  <c r="V4" i="6" a="1"/>
  <c r="V4" i="6"/>
  <c r="R4" i="6" a="1"/>
  <c r="R4" i="6"/>
  <c r="M4" i="6" a="1"/>
  <c r="M4" i="6"/>
  <c r="I4" i="6" a="1"/>
  <c r="I4" i="6"/>
  <c r="X4" i="6" a="1"/>
  <c r="X4" i="6"/>
  <c r="T4" i="6" a="1"/>
  <c r="T4" i="6"/>
  <c r="P4" i="6" a="1"/>
  <c r="P4" i="6"/>
  <c r="K4" i="6" a="1"/>
  <c r="K4" i="6"/>
  <c r="G4" i="6" a="1"/>
  <c r="G4" i="6"/>
  <c r="U4" i="6" a="1"/>
  <c r="U4" i="6"/>
  <c r="N4" i="6" a="1"/>
  <c r="N4" i="6"/>
  <c r="J4" i="6" a="1"/>
  <c r="J4" i="6"/>
  <c r="H4" i="6" a="1"/>
  <c r="H4" i="6"/>
  <c r="S4" i="6" a="1"/>
  <c r="S4" i="6"/>
  <c r="E4" i="6"/>
  <c r="L4" i="6" a="1"/>
  <c r="L4" i="6"/>
  <c r="W4" i="6" a="1"/>
  <c r="W4" i="6"/>
  <c r="F4" i="6" a="1"/>
  <c r="F4" i="6"/>
  <c r="Q4" i="6" a="1"/>
  <c r="Q4" i="6"/>
  <c r="Y3" i="6"/>
  <c r="Z3" i="6"/>
  <c r="O3" i="6"/>
  <c r="V12" i="6" a="1"/>
  <c r="V12" i="6"/>
  <c r="R12" i="6" a="1"/>
  <c r="R12" i="6"/>
  <c r="M12" i="6" a="1"/>
  <c r="M12" i="6"/>
  <c r="I12" i="6" a="1"/>
  <c r="I12" i="6"/>
  <c r="E12" i="6"/>
  <c r="U12" i="6" a="1"/>
  <c r="U12" i="6"/>
  <c r="Q12" i="6" a="1"/>
  <c r="Q12" i="6"/>
  <c r="L12" i="6" a="1"/>
  <c r="L12" i="6"/>
  <c r="H12" i="6" a="1"/>
  <c r="H12" i="6"/>
  <c r="X12" i="6" a="1"/>
  <c r="X12" i="6"/>
  <c r="T12" i="6" a="1"/>
  <c r="T12" i="6"/>
  <c r="P12" i="6" a="1"/>
  <c r="P12" i="6"/>
  <c r="K12" i="6" a="1"/>
  <c r="K12" i="6"/>
  <c r="G12" i="6" a="1"/>
  <c r="G12" i="6"/>
  <c r="W12" i="6" a="1"/>
  <c r="W12" i="6"/>
  <c r="S12" i="6" a="1"/>
  <c r="S12" i="6"/>
  <c r="N12" i="6" a="1"/>
  <c r="N12" i="6"/>
  <c r="J12" i="6" a="1"/>
  <c r="J12" i="6"/>
  <c r="F12" i="6" a="1"/>
  <c r="F12" i="6"/>
  <c r="V16" i="6" a="1"/>
  <c r="V16" i="6"/>
  <c r="R16" i="6" a="1"/>
  <c r="R16" i="6"/>
  <c r="M16" i="6" a="1"/>
  <c r="M16" i="6"/>
  <c r="I16" i="6" a="1"/>
  <c r="I16" i="6"/>
  <c r="E16" i="6"/>
  <c r="U16" i="6" a="1"/>
  <c r="U16" i="6"/>
  <c r="Q16" i="6" a="1"/>
  <c r="Q16" i="6"/>
  <c r="L16" i="6" a="1"/>
  <c r="L16" i="6"/>
  <c r="H16" i="6" a="1"/>
  <c r="H16" i="6"/>
  <c r="X16" i="6" a="1"/>
  <c r="X16" i="6"/>
  <c r="T16" i="6" a="1"/>
  <c r="T16" i="6"/>
  <c r="P16" i="6" a="1"/>
  <c r="P16" i="6"/>
  <c r="K16" i="6" a="1"/>
  <c r="K16" i="6"/>
  <c r="G16" i="6" a="1"/>
  <c r="G16" i="6"/>
  <c r="W16" i="6" a="1"/>
  <c r="W16" i="6"/>
  <c r="S16" i="6" a="1"/>
  <c r="S16" i="6"/>
  <c r="N16" i="6" a="1"/>
  <c r="N16" i="6"/>
  <c r="J16" i="6" a="1"/>
  <c r="J16" i="6"/>
  <c r="F16" i="6" a="1"/>
  <c r="F16" i="6"/>
  <c r="V8" i="6" a="1"/>
  <c r="V8" i="6"/>
  <c r="R8" i="6" a="1"/>
  <c r="R8" i="6"/>
  <c r="M8" i="6" a="1"/>
  <c r="M8" i="6"/>
  <c r="I8" i="6" a="1"/>
  <c r="I8" i="6"/>
  <c r="E8" i="6"/>
  <c r="U8" i="6" a="1"/>
  <c r="U8" i="6"/>
  <c r="Q8" i="6" a="1"/>
  <c r="Q8" i="6"/>
  <c r="L8" i="6" a="1"/>
  <c r="L8" i="6"/>
  <c r="H8" i="6" a="1"/>
  <c r="H8" i="6"/>
  <c r="X8" i="6" a="1"/>
  <c r="X8" i="6"/>
  <c r="T8" i="6" a="1"/>
  <c r="T8" i="6"/>
  <c r="P8" i="6" a="1"/>
  <c r="P8" i="6"/>
  <c r="K8" i="6" a="1"/>
  <c r="K8" i="6"/>
  <c r="G8" i="6" a="1"/>
  <c r="G8" i="6"/>
  <c r="F8" i="6" a="1"/>
  <c r="F8" i="6"/>
  <c r="N8" i="6" a="1"/>
  <c r="N8" i="6"/>
  <c r="W8" i="6" a="1"/>
  <c r="W8" i="6"/>
  <c r="J8" i="6" a="1"/>
  <c r="J8" i="6"/>
  <c r="S8" i="6" a="1"/>
  <c r="S8" i="6"/>
  <c r="E8" i="1"/>
  <c r="E4" i="1"/>
  <c r="Y3" i="1"/>
  <c r="Z3" i="1"/>
  <c r="O3" i="1"/>
  <c r="J21" i="3"/>
  <c r="I21" i="3"/>
  <c r="H21" i="3"/>
  <c r="G21" i="3"/>
  <c r="B14" i="3"/>
  <c r="Q10" i="7"/>
  <c r="Q11" i="7"/>
  <c r="I10" i="7"/>
  <c r="I11" i="7"/>
  <c r="X10" i="7"/>
  <c r="X11" i="7"/>
  <c r="H10" i="7"/>
  <c r="H11" i="7"/>
  <c r="P10" i="7"/>
  <c r="W10" i="7"/>
  <c r="W11" i="7"/>
  <c r="G10" i="7"/>
  <c r="G11" i="7"/>
  <c r="U10" i="7"/>
  <c r="U11" i="7"/>
  <c r="M10" i="7"/>
  <c r="M11" i="7"/>
  <c r="S10" i="7"/>
  <c r="S11" i="7"/>
  <c r="K10" i="7"/>
  <c r="K11" i="7"/>
  <c r="V10" i="7"/>
  <c r="V11" i="7"/>
  <c r="T10" i="7"/>
  <c r="T11" i="7"/>
  <c r="R10" i="7"/>
  <c r="R11" i="7"/>
  <c r="N10" i="7"/>
  <c r="N11" i="7"/>
  <c r="L10" i="7"/>
  <c r="L11" i="7"/>
  <c r="J10" i="7"/>
  <c r="J11" i="7"/>
  <c r="F10" i="7"/>
  <c r="Q14" i="7"/>
  <c r="Q15" i="7"/>
  <c r="I14" i="7"/>
  <c r="I15" i="7"/>
  <c r="X14" i="7"/>
  <c r="X15" i="7"/>
  <c r="P14" i="7"/>
  <c r="H14" i="7"/>
  <c r="H15" i="7"/>
  <c r="G14" i="7"/>
  <c r="G15" i="7"/>
  <c r="W14" i="7"/>
  <c r="W15" i="7"/>
  <c r="U14" i="7"/>
  <c r="U15" i="7"/>
  <c r="M14" i="7"/>
  <c r="M15" i="7"/>
  <c r="S14" i="7"/>
  <c r="S15" i="7"/>
  <c r="K14" i="7"/>
  <c r="K15" i="7"/>
  <c r="V14" i="7"/>
  <c r="V15" i="7"/>
  <c r="T14" i="7"/>
  <c r="T15" i="7"/>
  <c r="R14" i="7"/>
  <c r="R15" i="7"/>
  <c r="N14" i="7"/>
  <c r="N15" i="7"/>
  <c r="L14" i="7"/>
  <c r="L15" i="7"/>
  <c r="J14" i="7"/>
  <c r="J15" i="7"/>
  <c r="F14" i="7"/>
  <c r="Q6" i="7"/>
  <c r="Q7" i="7"/>
  <c r="I6" i="7"/>
  <c r="I7" i="7"/>
  <c r="P6" i="7"/>
  <c r="X6" i="7"/>
  <c r="X7" i="7"/>
  <c r="H6" i="7"/>
  <c r="H7" i="7"/>
  <c r="W6" i="7"/>
  <c r="W7" i="7"/>
  <c r="G6" i="7"/>
  <c r="G7" i="7"/>
  <c r="U6" i="7"/>
  <c r="U7" i="7"/>
  <c r="M6" i="7"/>
  <c r="M7" i="7"/>
  <c r="S6" i="7"/>
  <c r="S7" i="7"/>
  <c r="K6" i="7"/>
  <c r="K7" i="7"/>
  <c r="V6" i="7"/>
  <c r="V7" i="7"/>
  <c r="T6" i="7"/>
  <c r="T7" i="7"/>
  <c r="N6" i="7"/>
  <c r="N7" i="7"/>
  <c r="R6" i="7"/>
  <c r="R7" i="7"/>
  <c r="L6" i="7"/>
  <c r="L7" i="7"/>
  <c r="J7" i="7"/>
  <c r="F6" i="7"/>
  <c r="Q18" i="7"/>
  <c r="Q19" i="7"/>
  <c r="I18" i="7"/>
  <c r="I19" i="7"/>
  <c r="X18" i="7"/>
  <c r="X19" i="7"/>
  <c r="H18" i="7"/>
  <c r="H19" i="7"/>
  <c r="P18" i="7"/>
  <c r="W18" i="7"/>
  <c r="W19" i="7"/>
  <c r="G18" i="7"/>
  <c r="G19" i="7"/>
  <c r="U18" i="7"/>
  <c r="U19" i="7"/>
  <c r="M18" i="7"/>
  <c r="M19" i="7"/>
  <c r="T18" i="7"/>
  <c r="T19" i="7"/>
  <c r="L18" i="7"/>
  <c r="L19" i="7"/>
  <c r="S18" i="7"/>
  <c r="S19" i="7"/>
  <c r="K18" i="7"/>
  <c r="K19" i="7"/>
  <c r="R18" i="7"/>
  <c r="R19" i="7"/>
  <c r="N18" i="7"/>
  <c r="N19" i="7"/>
  <c r="F18" i="7"/>
  <c r="J18" i="7"/>
  <c r="J19" i="7"/>
  <c r="V18" i="7"/>
  <c r="V19" i="7"/>
  <c r="Q6" i="6"/>
  <c r="Q7" i="6"/>
  <c r="I6" i="6"/>
  <c r="I7" i="6"/>
  <c r="W7" i="6"/>
  <c r="G6" i="6"/>
  <c r="G7" i="6"/>
  <c r="U6" i="6"/>
  <c r="U7" i="6"/>
  <c r="M6" i="6"/>
  <c r="M7" i="6"/>
  <c r="L6" i="6"/>
  <c r="L7" i="6"/>
  <c r="X6" i="6"/>
  <c r="X7" i="6"/>
  <c r="K6" i="6"/>
  <c r="K7" i="6"/>
  <c r="N6" i="6"/>
  <c r="N7" i="6"/>
  <c r="V6" i="6"/>
  <c r="V7" i="6"/>
  <c r="J6" i="6"/>
  <c r="J7" i="6"/>
  <c r="T6" i="6"/>
  <c r="T7" i="6"/>
  <c r="H6" i="6"/>
  <c r="H7" i="6"/>
  <c r="S6" i="6"/>
  <c r="S7" i="6"/>
  <c r="F6" i="6"/>
  <c r="R6" i="6"/>
  <c r="R7" i="6"/>
  <c r="P6" i="6"/>
  <c r="Q18" i="6"/>
  <c r="Q19" i="6"/>
  <c r="I18" i="6"/>
  <c r="I19" i="6"/>
  <c r="X18" i="6"/>
  <c r="X19" i="6"/>
  <c r="P18" i="6"/>
  <c r="H18" i="6"/>
  <c r="H19" i="6"/>
  <c r="W18" i="6"/>
  <c r="W19" i="6"/>
  <c r="G18" i="6"/>
  <c r="G19" i="6"/>
  <c r="U18" i="6"/>
  <c r="U19" i="6"/>
  <c r="M18" i="6"/>
  <c r="M19" i="6"/>
  <c r="S18" i="6"/>
  <c r="S19" i="6"/>
  <c r="K18" i="6"/>
  <c r="K19" i="6"/>
  <c r="F18" i="6"/>
  <c r="V18" i="6"/>
  <c r="V19" i="6"/>
  <c r="T18" i="6"/>
  <c r="T19" i="6"/>
  <c r="R18" i="6"/>
  <c r="R19" i="6"/>
  <c r="J18" i="6"/>
  <c r="J19" i="6"/>
  <c r="N18" i="6"/>
  <c r="N19" i="6"/>
  <c r="L18" i="6"/>
  <c r="L19" i="6"/>
  <c r="Q14" i="6"/>
  <c r="Q15" i="6"/>
  <c r="I14" i="6"/>
  <c r="I15" i="6"/>
  <c r="X14" i="6"/>
  <c r="X15" i="6"/>
  <c r="P14" i="6"/>
  <c r="H14" i="6"/>
  <c r="H15" i="6"/>
  <c r="W14" i="6"/>
  <c r="W15" i="6"/>
  <c r="G14" i="6"/>
  <c r="G15" i="6"/>
  <c r="U14" i="6"/>
  <c r="U15" i="6"/>
  <c r="M14" i="6"/>
  <c r="M15" i="6"/>
  <c r="S14" i="6"/>
  <c r="S15" i="6"/>
  <c r="K14" i="6"/>
  <c r="K15" i="6"/>
  <c r="J14" i="6"/>
  <c r="J15" i="6"/>
  <c r="F14" i="6"/>
  <c r="V14" i="6"/>
  <c r="V15" i="6"/>
  <c r="T14" i="6"/>
  <c r="T15" i="6"/>
  <c r="R14" i="6"/>
  <c r="R15" i="6"/>
  <c r="N14" i="6"/>
  <c r="N15" i="6"/>
  <c r="L14" i="6"/>
  <c r="L15" i="6"/>
  <c r="Q10" i="6"/>
  <c r="Q11" i="6"/>
  <c r="I10" i="6"/>
  <c r="I11" i="6"/>
  <c r="X10" i="6"/>
  <c r="X11" i="6"/>
  <c r="P10" i="6"/>
  <c r="H10" i="6"/>
  <c r="H11" i="6"/>
  <c r="W10" i="6"/>
  <c r="W11" i="6"/>
  <c r="G10" i="6"/>
  <c r="G11" i="6"/>
  <c r="U10" i="6"/>
  <c r="U11" i="6"/>
  <c r="M10" i="6"/>
  <c r="M11" i="6"/>
  <c r="N10" i="6"/>
  <c r="N11" i="6"/>
  <c r="L10" i="6"/>
  <c r="L11" i="6"/>
  <c r="K10" i="6"/>
  <c r="K11" i="6"/>
  <c r="J10" i="6"/>
  <c r="J11" i="6"/>
  <c r="V10" i="6"/>
  <c r="V11" i="6"/>
  <c r="F10" i="6"/>
  <c r="R10" i="6"/>
  <c r="R11" i="6"/>
  <c r="T10" i="6"/>
  <c r="T11" i="6"/>
  <c r="S10" i="6"/>
  <c r="S11" i="6"/>
  <c r="T10" i="1"/>
  <c r="T11" i="1"/>
  <c r="L10" i="1"/>
  <c r="L11" i="1"/>
  <c r="Q10" i="1"/>
  <c r="Q11" i="1"/>
  <c r="I10" i="1"/>
  <c r="I11" i="1"/>
  <c r="S10" i="1"/>
  <c r="S11" i="1"/>
  <c r="X10" i="1"/>
  <c r="X11" i="1"/>
  <c r="P10" i="1"/>
  <c r="H10" i="1"/>
  <c r="H11" i="1"/>
  <c r="R10" i="1"/>
  <c r="R11" i="1"/>
  <c r="J10" i="1"/>
  <c r="J11" i="1"/>
  <c r="G10" i="1"/>
  <c r="G11" i="1"/>
  <c r="N10" i="1"/>
  <c r="N11" i="1"/>
  <c r="F10" i="1"/>
  <c r="U10" i="1"/>
  <c r="U11" i="1"/>
  <c r="M10" i="1"/>
  <c r="M11" i="1"/>
  <c r="K10" i="1"/>
  <c r="K11" i="1"/>
  <c r="Q6" i="1"/>
  <c r="Q7" i="1"/>
  <c r="I6" i="1"/>
  <c r="I7" i="1"/>
  <c r="X6" i="1"/>
  <c r="X7" i="1"/>
  <c r="P6" i="1"/>
  <c r="H6" i="1"/>
  <c r="H7" i="1"/>
  <c r="G6" i="1"/>
  <c r="G7" i="1"/>
  <c r="N6" i="1"/>
  <c r="N7" i="1"/>
  <c r="F6" i="1"/>
  <c r="S6" i="1"/>
  <c r="S7" i="1"/>
  <c r="K6" i="1"/>
  <c r="K7" i="1"/>
  <c r="R6" i="1"/>
  <c r="R7" i="1"/>
  <c r="J6" i="1"/>
  <c r="J7" i="1"/>
  <c r="U6" i="1"/>
  <c r="U7" i="1"/>
  <c r="M6" i="1"/>
  <c r="M7" i="1"/>
  <c r="T6" i="1"/>
  <c r="T7" i="1"/>
  <c r="L6" i="1"/>
  <c r="L7" i="1"/>
  <c r="Y6" i="7"/>
  <c r="P7" i="7"/>
  <c r="Y14" i="7"/>
  <c r="P15" i="7"/>
  <c r="Y15" i="7"/>
  <c r="Y10" i="7"/>
  <c r="P11" i="7"/>
  <c r="Y11" i="7"/>
  <c r="O6" i="7"/>
  <c r="F7" i="7"/>
  <c r="Z6" i="7"/>
  <c r="O14" i="7"/>
  <c r="F15" i="7"/>
  <c r="Z14" i="7"/>
  <c r="Y18" i="7"/>
  <c r="P19" i="7"/>
  <c r="Y19" i="7"/>
  <c r="O10" i="7"/>
  <c r="F11" i="7"/>
  <c r="Z10" i="7"/>
  <c r="O18" i="7"/>
  <c r="F19" i="7"/>
  <c r="Z18" i="7"/>
  <c r="O6" i="6"/>
  <c r="F7" i="6"/>
  <c r="Z6" i="6"/>
  <c r="O18" i="6"/>
  <c r="F19" i="6"/>
  <c r="Z18" i="6"/>
  <c r="Y18" i="6"/>
  <c r="P19" i="6"/>
  <c r="Y19" i="6"/>
  <c r="Y14" i="6"/>
  <c r="P15" i="6"/>
  <c r="Y15" i="6"/>
  <c r="O10" i="6"/>
  <c r="F11" i="6"/>
  <c r="Z10" i="6"/>
  <c r="Y10" i="6"/>
  <c r="P11" i="6"/>
  <c r="Y11" i="6"/>
  <c r="Y6" i="6"/>
  <c r="P7" i="6"/>
  <c r="O14" i="6"/>
  <c r="F15" i="6"/>
  <c r="Z14" i="6"/>
  <c r="E16" i="1"/>
  <c r="E12" i="1"/>
  <c r="V14" i="1"/>
  <c r="V15" i="1"/>
  <c r="W6" i="1"/>
  <c r="W7" i="1"/>
  <c r="W10" i="1"/>
  <c r="W11" i="1"/>
  <c r="V6" i="1"/>
  <c r="V7" i="1"/>
  <c r="V10" i="1"/>
  <c r="V11" i="1"/>
  <c r="O10" i="1"/>
  <c r="F11" i="1"/>
  <c r="P11" i="1"/>
  <c r="P7" i="1"/>
  <c r="O6" i="1"/>
  <c r="F7" i="1"/>
  <c r="O7" i="6"/>
  <c r="Z7" i="6"/>
  <c r="Y7" i="6"/>
  <c r="O11" i="6"/>
  <c r="Z11" i="6"/>
  <c r="O15" i="6"/>
  <c r="Z15" i="6"/>
  <c r="O19" i="6"/>
  <c r="Z19" i="6"/>
  <c r="X22" i="6" a="1"/>
  <c r="X22" i="6"/>
  <c r="Z15" i="7"/>
  <c r="O15" i="7"/>
  <c r="Z11" i="7"/>
  <c r="O11" i="7"/>
  <c r="Z19" i="7"/>
  <c r="O19" i="7"/>
  <c r="Y7" i="7"/>
  <c r="Z7" i="7"/>
  <c r="O7" i="7"/>
  <c r="H22" i="7" a="1"/>
  <c r="H22" i="7"/>
  <c r="W14" i="1"/>
  <c r="W15" i="1"/>
  <c r="H14" i="1"/>
  <c r="H15" i="1"/>
  <c r="I14" i="1"/>
  <c r="I15" i="1"/>
  <c r="L14" i="1"/>
  <c r="L15" i="1"/>
  <c r="M14" i="1"/>
  <c r="M15" i="1"/>
  <c r="N14" i="1"/>
  <c r="N15" i="1"/>
  <c r="S14" i="1"/>
  <c r="S15" i="1"/>
  <c r="J14" i="1"/>
  <c r="J15" i="1"/>
  <c r="Q14" i="1"/>
  <c r="Q15" i="1"/>
  <c r="F14" i="1"/>
  <c r="R14" i="1"/>
  <c r="R15" i="1"/>
  <c r="X14" i="1"/>
  <c r="X15" i="1"/>
  <c r="K14" i="1"/>
  <c r="K15" i="1"/>
  <c r="T14" i="1"/>
  <c r="T15" i="1"/>
  <c r="P14" i="1"/>
  <c r="P15" i="1"/>
  <c r="G14" i="1"/>
  <c r="G15" i="1"/>
  <c r="U14" i="1"/>
  <c r="U15" i="1"/>
  <c r="N18" i="1"/>
  <c r="N19" i="1"/>
  <c r="S18" i="1"/>
  <c r="S19" i="1"/>
  <c r="U18" i="1"/>
  <c r="U19" i="1"/>
  <c r="J18" i="1"/>
  <c r="J19" i="1"/>
  <c r="I18" i="1"/>
  <c r="I19" i="1"/>
  <c r="T18" i="1"/>
  <c r="T19" i="1"/>
  <c r="W18" i="1"/>
  <c r="W19" i="1"/>
  <c r="M18" i="1"/>
  <c r="M19" i="1"/>
  <c r="P18" i="1"/>
  <c r="L18" i="1"/>
  <c r="L19" i="1"/>
  <c r="H18" i="1"/>
  <c r="H19" i="1"/>
  <c r="F18" i="1"/>
  <c r="G18" i="1"/>
  <c r="G19" i="1"/>
  <c r="X18" i="1"/>
  <c r="X19" i="1"/>
  <c r="R18" i="1"/>
  <c r="R19" i="1"/>
  <c r="Q18" i="1"/>
  <c r="Q19" i="1"/>
  <c r="K18" i="1"/>
  <c r="K19" i="1"/>
  <c r="V18" i="1"/>
  <c r="V19" i="1"/>
  <c r="Y6" i="1"/>
  <c r="Y7" i="1"/>
  <c r="Y10" i="1"/>
  <c r="Y11" i="1"/>
  <c r="Z6" i="1"/>
  <c r="Z10" i="1"/>
  <c r="Z11" i="1"/>
  <c r="O11" i="1"/>
  <c r="Z7" i="1"/>
  <c r="O7" i="1"/>
  <c r="K22" i="6" a="1"/>
  <c r="K22" i="6"/>
  <c r="R22" i="6" a="1"/>
  <c r="R22" i="6"/>
  <c r="P20" i="6" a="1"/>
  <c r="P20" i="6"/>
  <c r="W21" i="7" a="1"/>
  <c r="W21" i="7"/>
  <c r="K22" i="7" a="1"/>
  <c r="K22" i="7"/>
  <c r="U22" i="7" a="1"/>
  <c r="U22" i="7"/>
  <c r="T21" i="7" a="1"/>
  <c r="T21" i="7"/>
  <c r="M21" i="7" a="1"/>
  <c r="M21" i="7"/>
  <c r="G21" i="7" a="1"/>
  <c r="G21" i="7"/>
  <c r="I20" i="7" a="1"/>
  <c r="I20" i="7"/>
  <c r="N22" i="7" a="1"/>
  <c r="N22" i="7"/>
  <c r="Q21" i="7" a="1"/>
  <c r="Q21" i="7"/>
  <c r="J21" i="7" a="1"/>
  <c r="J21" i="7"/>
  <c r="X22" i="7" a="1"/>
  <c r="X22" i="7"/>
  <c r="R22" i="7" a="1"/>
  <c r="R22" i="7"/>
  <c r="P20" i="7" a="1"/>
  <c r="P20" i="7"/>
  <c r="S20" i="7" a="1"/>
  <c r="S20" i="7"/>
  <c r="L20" i="7" a="1"/>
  <c r="L20" i="7"/>
  <c r="V20" i="7" a="1"/>
  <c r="V20" i="7"/>
  <c r="F20" i="7" a="1"/>
  <c r="F20" i="7"/>
  <c r="Q21" i="6" a="1"/>
  <c r="Q21" i="6"/>
  <c r="W21" i="6" a="1"/>
  <c r="W21" i="6"/>
  <c r="M21" i="6" a="1"/>
  <c r="M21" i="6"/>
  <c r="S20" i="6" a="1"/>
  <c r="S20" i="6"/>
  <c r="L20" i="6" a="1"/>
  <c r="L20" i="6"/>
  <c r="H22" i="6" a="1"/>
  <c r="H22" i="6"/>
  <c r="F20" i="6" a="1"/>
  <c r="F20" i="6"/>
  <c r="T21" i="6" a="1"/>
  <c r="T21" i="6"/>
  <c r="U22" i="6" a="1"/>
  <c r="U22" i="6"/>
  <c r="N22" i="6" a="1"/>
  <c r="N22" i="6"/>
  <c r="G21" i="6" a="1"/>
  <c r="G21" i="6"/>
  <c r="V20" i="6" a="1"/>
  <c r="V20" i="6"/>
  <c r="J21" i="6" a="1"/>
  <c r="J21" i="6"/>
  <c r="I20" i="6" a="1"/>
  <c r="I20" i="6"/>
  <c r="Y15" i="1"/>
  <c r="Y14" i="1"/>
  <c r="Z14" i="1"/>
  <c r="F19" i="1"/>
  <c r="O18" i="1"/>
  <c r="Z18" i="1"/>
  <c r="P19" i="1"/>
  <c r="Y19" i="1"/>
  <c r="Y18" i="1"/>
  <c r="F15" i="1"/>
  <c r="O14" i="1"/>
  <c r="Z23" i="7"/>
  <c r="Z23" i="6"/>
  <c r="O15" i="1"/>
  <c r="Z15" i="1"/>
  <c r="O19" i="1"/>
  <c r="Z19" i="1"/>
  <c r="R22" i="1" a="1"/>
  <c r="R22" i="1"/>
  <c r="U22" i="1" a="1"/>
  <c r="U22" i="1"/>
  <c r="N22" i="1" a="1"/>
  <c r="N22" i="1"/>
  <c r="S20" i="1" a="1"/>
  <c r="S20" i="1"/>
  <c r="G21" i="1" a="1"/>
  <c r="G21" i="1"/>
  <c r="M21" i="1" a="1"/>
  <c r="M21" i="1"/>
  <c r="F20" i="1" a="1"/>
  <c r="F20" i="1"/>
  <c r="K22" i="1" a="1"/>
  <c r="K22" i="1"/>
  <c r="L20" i="1" a="1"/>
  <c r="L20" i="1"/>
  <c r="X22" i="1" a="1"/>
  <c r="X22" i="1"/>
  <c r="I20" i="1" a="1"/>
  <c r="I20" i="1"/>
  <c r="J21" i="1" a="1"/>
  <c r="J21" i="1"/>
  <c r="P20" i="1" a="1"/>
  <c r="P20" i="1"/>
  <c r="W21" i="1" a="1"/>
  <c r="W21" i="1"/>
  <c r="T21" i="1" a="1"/>
  <c r="T21" i="1"/>
  <c r="Q21" i="1" a="1"/>
  <c r="Q21" i="1"/>
  <c r="H22" i="1" a="1"/>
  <c r="H22" i="1"/>
  <c r="V20" i="1" a="1"/>
  <c r="V20" i="1"/>
  <c r="Z23" i="1"/>
  <c r="A2" i="4" a="1"/>
  <c r="A2" i="4"/>
  <c r="C5" i="4"/>
  <c r="E5" i="4"/>
  <c r="C2" i="4"/>
  <c r="C3" i="4"/>
  <c r="C4" i="4"/>
  <c r="C6" i="4"/>
  <c r="C7" i="4"/>
  <c r="E2" i="4"/>
  <c r="D6" i="4"/>
  <c r="E4" i="4"/>
  <c r="E7" i="4"/>
  <c r="D5" i="4"/>
  <c r="D3" i="4"/>
  <c r="D2" i="4"/>
  <c r="D4" i="4"/>
  <c r="E3" i="4"/>
  <c r="D7" i="4"/>
  <c r="E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<sst xmlns="http://schemas.openxmlformats.org/spreadsheetml/2006/main" count="109" uniqueCount="61">
  <si>
    <t>Player</t>
  </si>
  <si>
    <t>Par</t>
  </si>
  <si>
    <t>Handicap</t>
  </si>
  <si>
    <t>Place</t>
  </si>
  <si>
    <t>Kitty</t>
  </si>
  <si>
    <t>Payouts</t>
  </si>
  <si>
    <t>HI</t>
  </si>
  <si>
    <t>Gender for Golf</t>
  </si>
  <si>
    <t>Tee</t>
  </si>
  <si>
    <t>Entry</t>
  </si>
  <si>
    <t>John Allen</t>
  </si>
  <si>
    <t>M</t>
  </si>
  <si>
    <t>Scott O'Hare</t>
  </si>
  <si>
    <t>Course</t>
  </si>
  <si>
    <t>Men's</t>
  </si>
  <si>
    <t>Women's</t>
  </si>
  <si>
    <t>Men's Tee</t>
  </si>
  <si>
    <t>Holes</t>
  </si>
  <si>
    <t>Men's Tee Slope</t>
  </si>
  <si>
    <t>Men's Tee Course Rating</t>
  </si>
  <si>
    <t>Men's Par</t>
  </si>
  <si>
    <t>Women's Tee</t>
  </si>
  <si>
    <t>Women's Tee Slope</t>
  </si>
  <si>
    <t>Women's Tee Course Rating</t>
  </si>
  <si>
    <t>Women's Tee Par</t>
  </si>
  <si>
    <t>Handicap Allowance</t>
  </si>
  <si>
    <t>Max Handicap</t>
  </si>
  <si>
    <t>Amount</t>
  </si>
  <si>
    <t>Total</t>
  </si>
  <si>
    <t>Gold</t>
  </si>
  <si>
    <t>Green Valley Ranch Golf Course</t>
  </si>
  <si>
    <t>Travis Hubbard</t>
  </si>
  <si>
    <t>Ryan Sagastume</t>
  </si>
  <si>
    <t>Blue</t>
  </si>
  <si>
    <t>Todd Hubbard</t>
  </si>
  <si>
    <t>Elisabeth Fast</t>
  </si>
  <si>
    <t>Vicki Hubbard</t>
  </si>
  <si>
    <t>Dante Kobek</t>
  </si>
  <si>
    <t>Chris Lundhagen</t>
  </si>
  <si>
    <t>Team</t>
  </si>
  <si>
    <t>Patrick Calhoun</t>
  </si>
  <si>
    <t>Marcus Fast</t>
  </si>
  <si>
    <t>Gold/Green</t>
  </si>
  <si>
    <t>White</t>
  </si>
  <si>
    <t>Pete Friesen</t>
  </si>
  <si>
    <t>F</t>
  </si>
  <si>
    <t>2022 September 3-2-1 Scoresheet - Team 1</t>
  </si>
  <si>
    <t>Front</t>
  </si>
  <si>
    <t>Back</t>
  </si>
  <si>
    <t>Index</t>
  </si>
  <si>
    <t>Allowance</t>
  </si>
  <si>
    <t>Course
HCP</t>
  </si>
  <si>
    <t>Winning Team</t>
  </si>
  <si>
    <t>Lowest Ball</t>
  </si>
  <si>
    <t>Lowest 3 Balls</t>
  </si>
  <si>
    <t>Lowest 2 Balls</t>
  </si>
  <si>
    <t>2022 September 3-2-1 Scoresheet - Team 2</t>
  </si>
  <si>
    <t>2022 September 3-2-1 Scoresheet - Team 3</t>
  </si>
  <si>
    <t>FACCin' Golf</t>
  </si>
  <si>
    <t>The Huffers</t>
  </si>
  <si>
    <t>Team ACOSA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</si>
</sst>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6" fontId="0" fillId="0" borderId="0" xfId="0" applyNumberFormat="1"/>
    <xf numFmtId="9" fontId="0" fillId="0" borderId="0" xfId="0" applyNumberFormat="1"/>
    <xf numFmtId="164" fontId="0" fillId="0" borderId="0" xfId="0" applyNumberFormat="1"/>
    <xf numFmtId="0" fontId="1" fillId="0" borderId="0" xfId="0" applyFont="1"/>
    <xf numFmtId="1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9" fontId="1" fillId="0" borderId="0" xfId="0" applyNumberFormat="1" applyFont="1" applyAlignment="1">
      <alignment wrapText="1"/>
    </xf>
    <xf numFmtId="1" fontId="1" fillId="0" borderId="0" xfId="0" applyNumberFormat="1" applyFont="1"/>
    <xf numFmtId="1" fontId="0" fillId="0" borderId="0" xfId="0" applyNumberFormat="1"/>
  </cellXfs>
  <cellStyles count="1">
    <cellStyle name="Normal" xfId="0" builtinId="0"/>
  </cellStyles>
  <dxfs count="3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4FA9D-C726-4734-A8EA-5FD4A1704210}">
  <sheetPr>
    <pageSetUpPr fitToPage="1"/>
  </sheetPr>
  <dimension ref="A1:AC23"/>
  <sheetViews>
    <sheetView topLeftCell="M3" workbookViewId="0">
      <selection activeCell="N8" sqref="N8"/>
    </sheetView>
  </sheetViews>
  <sheetFormatPr defaultRowHeight="15" x14ac:dyDescent="0.2"/>
  <cols>
    <col min="1" max="1" width="18.16015625" customWidth="1"/>
    <col min="2" max="2" width="11.703125" bestFit="1" customWidth="1"/>
    <col min="3" max="3" width="6.3203125" customWidth="1"/>
    <col min="4" max="4" width="7.26171875" customWidth="1"/>
    <col min="5" max="5" width="10.625" bestFit="1" customWidth="1"/>
    <col min="6" max="14" width="3.765625" customWidth="1"/>
    <col min="15" max="15" width="5.6484375" bestFit="1" customWidth="1"/>
    <col min="16" max="24" width="3.765625" customWidth="1"/>
    <col min="25" max="25" width="4.9765625" bestFit="1" customWidth="1"/>
    <col min="26" max="26" width="5.37890625" bestFit="1" customWidth="1"/>
  </cols>
  <sheetData>
    <row r="1" spans="1:29" x14ac:dyDescent="0.2">
      <c r="A1" s="4" t="s">
        <v>46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P1" s="4"/>
      <c r="Q1" s="4"/>
      <c r="R1" s="4"/>
      <c r="S1" s="4"/>
      <c r="T1" s="4"/>
      <c r="U1" s="4"/>
      <c r="V1" s="4"/>
    </row>
    <row r="2" spans="1:29" x14ac:dyDescent="0.2">
      <c r="A2" s="4" t="s">
        <v>60</v>
      </c>
      <c r="B2" s="4"/>
      <c r="C2" s="4"/>
      <c r="D2" s="4"/>
      <c r="E2" s="4"/>
      <c r="F2" s="6">
        <v>1</v>
      </c>
      <c r="G2" s="6">
        <v>2</v>
      </c>
      <c r="H2" s="6">
        <v>3</v>
      </c>
      <c r="I2" s="6">
        <v>4</v>
      </c>
      <c r="J2" s="6">
        <v>5</v>
      </c>
      <c r="K2" s="6">
        <v>6</v>
      </c>
      <c r="L2" s="6">
        <v>7</v>
      </c>
      <c r="M2" s="6">
        <v>8</v>
      </c>
      <c r="N2" s="6">
        <v>9</v>
      </c>
      <c r="O2" s="5" t="s">
        <v>47</v>
      </c>
      <c r="P2" s="6">
        <v>10</v>
      </c>
      <c r="Q2" s="6">
        <v>11</v>
      </c>
      <c r="R2" s="6">
        <v>12</v>
      </c>
      <c r="S2" s="6">
        <v>13</v>
      </c>
      <c r="T2" s="6">
        <v>14</v>
      </c>
      <c r="U2" s="6">
        <v>15</v>
      </c>
      <c r="V2" s="6">
        <v>16</v>
      </c>
      <c r="W2" s="6">
        <v>17</v>
      </c>
      <c r="X2" s="6">
        <v>18</v>
      </c>
      <c r="Y2" t="s">
        <v>48</v>
      </c>
      <c r="Z2" t="s">
        <v>28</v>
      </c>
    </row>
    <row r="3" spans="1:29" ht="30" x14ac:dyDescent="0.2">
      <c r="A3" s="4"/>
      <c r="B3" s="4" t="s">
        <v>8</v>
      </c>
      <c r="C3" s="4" t="s">
        <v>49</v>
      </c>
      <c r="D3" s="7" t="s">
        <v>51</v>
      </c>
      <c r="E3" s="4" t="s">
        <v>50</v>
      </c>
      <c r="F3" s="5" cm="1">
        <f t="array" ref="F3">INDEX(HoleParM,F2,0)</f>
        <v>4</v>
      </c>
      <c r="G3" s="5" cm="1">
        <f t="array" ref="G3">INDEX(HoleParM,G2,0)</f>
        <v>5</v>
      </c>
      <c r="H3" s="5" cm="1">
        <f t="array" ref="H3">INDEX(HoleParM,H2,0)</f>
        <v>4</v>
      </c>
      <c r="I3" s="5" cm="1">
        <f t="array" ref="I3">INDEX(HoleParM,I2,0)</f>
        <v>4</v>
      </c>
      <c r="J3" s="5" cm="1">
        <f t="array" ref="J3">INDEX(HoleParM,J2,0)</f>
        <v>3</v>
      </c>
      <c r="K3" s="5" cm="1">
        <f t="array" ref="K3">INDEX(HoleParM,K2,0)</f>
        <v>4</v>
      </c>
      <c r="L3" s="5" cm="1">
        <f t="array" ref="L3">INDEX(HoleParM,L2,0)</f>
        <v>4</v>
      </c>
      <c r="M3" s="5" cm="1">
        <f t="array" ref="M3">INDEX(HoleParM,M2,0)</f>
        <v>3</v>
      </c>
      <c r="N3" s="5" cm="1">
        <f t="array" ref="N3">INDEX(HoleParM,N2,0)</f>
        <v>5</v>
      </c>
      <c r="O3" s="8">
        <f>IF(SUM(F3:N3)&gt;0,SUM(F3:N3),"")</f>
        <v>36</v>
      </c>
      <c r="P3" s="5" cm="1">
        <f t="array" ref="P3">INDEX(HoleParM,P2,0)</f>
        <v>4</v>
      </c>
      <c r="Q3" s="5" cm="1">
        <f t="array" ref="Q3">INDEX(HoleParM,Q2,0)</f>
        <v>4</v>
      </c>
      <c r="R3" s="5" cm="1">
        <f t="array" ref="R3">INDEX(HoleParM,R2,0)</f>
        <v>5</v>
      </c>
      <c r="S3" s="5" cm="1">
        <f t="array" ref="S3">INDEX(HoleParM,S2,0)</f>
        <v>3</v>
      </c>
      <c r="T3" s="5" cm="1">
        <f t="array" ref="T3">INDEX(HoleParM,T2,0)</f>
        <v>4</v>
      </c>
      <c r="U3" s="5" cm="1">
        <f t="array" ref="U3">INDEX(HoleParM,U2,0)</f>
        <v>4</v>
      </c>
      <c r="V3" s="5" cm="1">
        <f t="array" ref="V3">INDEX(HoleParM,V2,0)</f>
        <v>4</v>
      </c>
      <c r="W3" s="5" cm="1">
        <f t="array" ref="W3">INDEX(HoleParM,W2,0)</f>
        <v>3</v>
      </c>
      <c r="X3" s="5" cm="1">
        <f t="array" ref="X3">INDEX(HoleParM,X2,0)</f>
        <v>5</v>
      </c>
      <c r="Y3" s="8">
        <f>IF(SUM(P3:X3)&gt;0,SUM(P3:X3),"")</f>
        <v>36</v>
      </c>
      <c r="Z3" s="8">
        <f>IF((SUM(F3:N3)+SUM(P3:X3))&gt;0,SUM(F3:N3)+SUM(P3:X3),"")</f>
        <v>72</v>
      </c>
      <c r="AC3" s="2"/>
    </row>
    <row r="4" spans="1:29" x14ac:dyDescent="0.2">
      <c r="A4" s="4" t="str" cm="1">
        <f t="array" ref="A4">INDEX(PlayerNames,SUMPRODUCT((PlayerPlayerNo=(ROUNDUP((ROW()-3.5)/4,0)+((VALUE(RIGHT($A$1,1))-1)*4)))*ROW(PlayerNames))-1)</f>
        <v>Scott O'Hare</v>
      </c>
      <c r="B4" s="4" t="str" cm="1">
        <f t="array" ref="B4">INDEX(PlayerTees,SUMPRODUCT((PlayerPlayerNo=((ROUNDUP((ROW()-3.5)/4,0))+((VALUE(RIGHT($A$1,1))-1)*4)))*ROW(PlayerNames))-1)</f>
        <v>Blue</v>
      </c>
      <c r="C4" s="4" cm="1">
        <f t="array" ref="C4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13.8</v>
      </c>
      <c r="D4" s="4" cm="1">
        <f t="array" ref="D4">IF(C4="","",IF(C4=0,0,IF(INDEX(PlayerGender,SUMPRODUCT((PlayerPlayerNo=(ROUNDUP((ROW()-3.5)/4,0)+((VALUE(RIGHT($A$1,1))-1)*4)))*ROW(PlayerGender))-1)="M",ROUND((C4*(HLOOKUP(B4,MensTees,2,FALSE)/113))+(HLOOKUP(B4,MensTees,3,FALSE)-HLOOKUP(B4,MensTees,4,FALSE)),0),ROUND((C4*(HLOOKUP(B4,WomensTees,2,FALSE)/113))+(HLOOKUP(B4,WomensTees,3,FALSE)-HLOOKUP(B4,WomensTees,4,FALSE)),0))))</f>
        <v>15</v>
      </c>
      <c r="E4" s="4">
        <f>IF(A5 = "Solo",D4,ROUND(D4*HandicapAllowance,0))</f>
        <v>14</v>
      </c>
      <c r="F4" s="5" cm="1">
        <f t="array" ref="F4">IF($C4="","",IF(INDEX(PlayerGender,SUMPRODUCT((PlayerPlayerNo=(ROUNDUP((ROW()-3.5)/4,0)+((VALUE(RIGHT($A$1,1))-1)*4)))*ROW(PlayerGender))-1)="M",INDEX(HoleHandicapM,F$2,0),INDEX(HoleHandicapF,F$2,0)))</f>
        <v>9</v>
      </c>
      <c r="G4" s="5" cm="1">
        <f t="array" ref="G4">IF($C4="","",IF(INDEX(PlayerGender,SUMPRODUCT((PlayerPlayerNo=(ROUNDUP((ROW()-3.5)/4,0)+((VALUE(RIGHT($A$1,1))-1)*4)))*ROW(PlayerGender))-1)="M",INDEX(HoleHandicapM,G$2,0),INDEX(HoleHandicapF,G$2,0)))</f>
        <v>3</v>
      </c>
      <c r="H4" s="5" cm="1">
        <f t="array" ref="H4">IF($C4="","",IF(INDEX(PlayerGender,SUMPRODUCT((PlayerPlayerNo=(ROUNDUP((ROW()-3.5)/4,0)+((VALUE(RIGHT($A$1,1))-1)*4)))*ROW(PlayerGender))-1)="M",INDEX(HoleHandicapM,H$2,0),INDEX(HoleHandicapF,H$2,0)))</f>
        <v>7</v>
      </c>
      <c r="I4" s="5" cm="1">
        <f t="array" ref="I4">IF($C4="","",IF(INDEX(PlayerGender,SUMPRODUCT((PlayerPlayerNo=(ROUNDUP((ROW()-3.5)/4,0)+((VALUE(RIGHT($A$1,1))-1)*4)))*ROW(PlayerGender))-1)="M",INDEX(HoleHandicapM,I$2,0),INDEX(HoleHandicapF,I$2,0)))</f>
        <v>17</v>
      </c>
      <c r="J4" s="5" cm="1">
        <f t="array" ref="J4">IF($C4="","",IF(INDEX(PlayerGender,SUMPRODUCT((PlayerPlayerNo=(ROUNDUP((ROW()-3.5)/4,0)+((VALUE(RIGHT($A$1,1))-1)*4)))*ROW(PlayerGender))-1)="M",INDEX(HoleHandicapM,J$2,0),INDEX(HoleHandicapF,J$2,0)))</f>
        <v>13</v>
      </c>
      <c r="K4" s="5" cm="1">
        <f t="array" ref="K4">IF($C4="","",IF(INDEX(PlayerGender,SUMPRODUCT((PlayerPlayerNo=(ROUNDUP((ROW()-3.5)/4,0)+((VALUE(RIGHT($A$1,1))-1)*4)))*ROW(PlayerGender))-1)="M",INDEX(HoleHandicapM,K$2,0),INDEX(HoleHandicapF,K$2,0)))</f>
        <v>1</v>
      </c>
      <c r="L4" s="5" cm="1">
        <f t="array" ref="L4">IF($C4="","",IF(INDEX(PlayerGender,SUMPRODUCT((PlayerPlayerNo=(ROUNDUP((ROW()-3.5)/4,0)+((VALUE(RIGHT($A$1,1))-1)*4)))*ROW(PlayerGender))-1)="M",INDEX(HoleHandicapM,L$2,0),INDEX(HoleHandicapF,L$2,0)))</f>
        <v>15</v>
      </c>
      <c r="M4" s="5" cm="1">
        <f t="array" ref="M4">IF($C4="","",IF(INDEX(PlayerGender,SUMPRODUCT((PlayerPlayerNo=(ROUNDUP((ROW()-3.5)/4,0)+((VALUE(RIGHT($A$1,1))-1)*4)))*ROW(PlayerGender))-1)="M",INDEX(HoleHandicapM,M$2,0),INDEX(HoleHandicapF,M$2,0)))</f>
        <v>11</v>
      </c>
      <c r="N4" s="5" cm="1">
        <f t="array" ref="N4">IF($C4="","",IF(INDEX(PlayerGender,SUMPRODUCT((PlayerPlayerNo=(ROUNDUP((ROW()-3.5)/4,0)+((VALUE(RIGHT($A$1,1))-1)*4)))*ROW(PlayerGender))-1)="M",INDEX(HoleHandicapM,N$2,0),INDEX(HoleHandicapF,N$2,0)))</f>
        <v>5</v>
      </c>
      <c r="O4" s="5"/>
      <c r="P4" s="5" cm="1">
        <f t="array" ref="P4">IF($C4="","",IF(INDEX(PlayerGender,SUMPRODUCT((PlayerPlayerNo=(ROUNDUP((ROW()-3.5)/4,0)+((VALUE(RIGHT($A$1,1))-1)*4)))*ROW(PlayerGender))-1)="M",INDEX(HoleHandicapM,P$2,0),INDEX(HoleHandicapF,P$2,0)))</f>
        <v>10</v>
      </c>
      <c r="Q4" s="5" cm="1">
        <f t="array" ref="Q4">IF($C4="","",IF(INDEX(PlayerGender,SUMPRODUCT((PlayerPlayerNo=(ROUNDUP((ROW()-3.5)/4,0)+((VALUE(RIGHT($A$1,1))-1)*4)))*ROW(PlayerGender))-1)="M",INDEX(HoleHandicapM,Q$2,0),INDEX(HoleHandicapF,Q$2,0)))</f>
        <v>4</v>
      </c>
      <c r="R4" s="5" cm="1">
        <f t="array" ref="R4">IF($C4="","",IF(INDEX(PlayerGender,SUMPRODUCT((PlayerPlayerNo=(ROUNDUP((ROW()-3.5)/4,0)+((VALUE(RIGHT($A$1,1))-1)*4)))*ROW(PlayerGender))-1)="M",INDEX(HoleHandicapM,R$2,0),INDEX(HoleHandicapF,R$2,0)))</f>
        <v>8</v>
      </c>
      <c r="S4" s="5" cm="1">
        <f t="array" ref="S4">IF($C4="","",IF(INDEX(PlayerGender,SUMPRODUCT((PlayerPlayerNo=(ROUNDUP((ROW()-3.5)/4,0)+((VALUE(RIGHT($A$1,1))-1)*4)))*ROW(PlayerGender))-1)="M",INDEX(HoleHandicapM,S$2,0),INDEX(HoleHandicapF,S$2,0)))</f>
        <v>16</v>
      </c>
      <c r="T4" s="5" cm="1">
        <f t="array" ref="T4">IF($C4="","",IF(INDEX(PlayerGender,SUMPRODUCT((PlayerPlayerNo=(ROUNDUP((ROW()-3.5)/4,0)+((VALUE(RIGHT($A$1,1))-1)*4)))*ROW(PlayerGender))-1)="M",INDEX(HoleHandicapM,T$2,0),INDEX(HoleHandicapF,T$2,0)))</f>
        <v>18</v>
      </c>
      <c r="U4" s="5" cm="1">
        <f t="array" ref="U4">IF($C4="","",IF(INDEX(PlayerGender,SUMPRODUCT((PlayerPlayerNo=(ROUNDUP((ROW()-3.5)/4,0)+((VALUE(RIGHT($A$1,1))-1)*4)))*ROW(PlayerGender))-1)="M",INDEX(HoleHandicapM,U$2,0),INDEX(HoleHandicapF,U$2,0)))</f>
        <v>2</v>
      </c>
      <c r="V4" s="5" cm="1">
        <f t="array" ref="V4">IF($C4="","",IF(INDEX(PlayerGender,SUMPRODUCT((PlayerPlayerNo=(ROUNDUP((ROW()-3.5)/4,0)+((VALUE(RIGHT($A$1,1))-1)*4)))*ROW(PlayerGender))-1)="M",INDEX(HoleHandicapM,V$2,0),INDEX(HoleHandicapF,V$2,0)))</f>
        <v>14</v>
      </c>
      <c r="W4" s="5" cm="1">
        <f t="array" ref="W4">IF($C4="","",IF(INDEX(PlayerGender,SUMPRODUCT((PlayerPlayerNo=(ROUNDUP((ROW()-3.5)/4,0)+((VALUE(RIGHT($A$1,1))-1)*4)))*ROW(PlayerGender))-1)="M",INDEX(HoleHandicapM,W$2,0),INDEX(HoleHandicapF,W$2,0)))</f>
        <v>12</v>
      </c>
      <c r="X4" s="5" cm="1">
        <f t="array" ref="X4">IF($C4="","",IF(INDEX(PlayerGender,SUMPRODUCT((PlayerPlayerNo=(ROUNDUP((ROW()-3.5)/4,0)+((VALUE(RIGHT($A$1,1))-1)*4)))*ROW(PlayerGender))-1)="M",INDEX(HoleHandicapM,X$2,0),INDEX(HoleHandicapF,X$2,0)))</f>
        <v>6</v>
      </c>
      <c r="Y4" s="5"/>
      <c r="Z4" s="4"/>
      <c r="AC4" s="2"/>
    </row>
    <row r="5" spans="1:29" x14ac:dyDescent="0.2">
      <c r="A5" s="4" t="str" cm="1">
        <f t="array" ref="A5">_xlfn.CONCAT(INDEX(PlayerNames,SUMPRODUCT((PlayerPlayerNo=(ROUNDUP((ROW()-3.5)/4,0)+((VALUE(RIGHT($A$1,1))-1)*4)))*ROW(PlayerNames))-1)," Gross")</f>
        <v>Scott O'Hare Gross</v>
      </c>
      <c r="B5" s="4"/>
      <c r="C5" s="4"/>
      <c r="D5" s="4"/>
      <c r="E5" s="4"/>
      <c r="F5" s="4">
        <v>5</v>
      </c>
      <c r="G5" s="4">
        <v>5</v>
      </c>
      <c r="H5" s="4">
        <v>6</v>
      </c>
      <c r="I5" s="4">
        <v>4</v>
      </c>
      <c r="J5" s="4">
        <v>3</v>
      </c>
      <c r="K5" s="4">
        <v>5</v>
      </c>
      <c r="L5" s="4">
        <v>5</v>
      </c>
      <c r="M5" s="4">
        <v>3</v>
      </c>
      <c r="N5" s="4">
        <v>4</v>
      </c>
      <c r="O5" s="8">
        <f t="shared" ref="O5" si="0">IF(OR(ISBLANK(F5),F5=""),"",SUM(F5:N5))</f>
        <v>40</v>
      </c>
      <c r="P5" s="4">
        <v>6</v>
      </c>
      <c r="Q5" s="4">
        <v>4</v>
      </c>
      <c r="R5" s="4">
        <v>7</v>
      </c>
      <c r="S5" s="4">
        <v>3</v>
      </c>
      <c r="T5" s="4">
        <v>6</v>
      </c>
      <c r="U5" s="4">
        <v>5</v>
      </c>
      <c r="V5" s="4">
        <v>5</v>
      </c>
      <c r="W5" s="4">
        <v>4</v>
      </c>
      <c r="X5" s="4">
        <v>6</v>
      </c>
      <c r="Y5" s="8">
        <f>IF(SUM(P5:X5)&gt;0,SUM(P5:X5),"")</f>
        <v>46</v>
      </c>
      <c r="Z5" s="8">
        <f>IF((SUM(F5:N5)+SUM(P5:X5))&gt;0,SUM(F5:N5)+SUM(P5:X5),"")</f>
        <v>86</v>
      </c>
      <c r="AC5" s="2"/>
    </row>
    <row r="6" spans="1:29" x14ac:dyDescent="0.2">
      <c r="A6" s="4" t="str" cm="1">
        <f t="array" ref="A6">_xlfn.CONCAT(INDEX(PlayerNames,SUMPRODUCT((PlayerPlayerNo=((ROUNDUP((ROW()-3.5)/4,0))+((VALUE(RIGHT($A$1,1))-1)*4)))*ROW(PlayerNames))-1)," Handicap Strokes")</f>
        <v>Scott O'Hare Handicap Strokes</v>
      </c>
      <c r="B6" s="4"/>
      <c r="C6" s="4"/>
      <c r="D6" s="4"/>
      <c r="E6" s="4"/>
      <c r="F6" s="8">
        <f>ROUNDDOWN($E4/18,0)+IF(MOD($E4,18)&gt;=F4,1,0)</f>
        <v>1</v>
      </c>
      <c r="G6" s="8">
        <f t="shared" ref="G6:N6" si="1">ROUNDDOWN($E4/18,0)+IF(MOD($E4,18)&gt;=G4,1,0)</f>
        <v>1</v>
      </c>
      <c r="H6" s="8">
        <f t="shared" si="1"/>
        <v>1</v>
      </c>
      <c r="I6" s="8">
        <f t="shared" si="1"/>
        <v>0</v>
      </c>
      <c r="J6" s="8">
        <f t="shared" si="1"/>
        <v>1</v>
      </c>
      <c r="K6" s="8">
        <f t="shared" si="1"/>
        <v>1</v>
      </c>
      <c r="L6" s="8">
        <f t="shared" si="1"/>
        <v>0</v>
      </c>
      <c r="M6" s="8">
        <f t="shared" si="1"/>
        <v>1</v>
      </c>
      <c r="N6" s="8">
        <f t="shared" si="1"/>
        <v>1</v>
      </c>
      <c r="O6" s="8">
        <f t="shared" ref="O6:O7" si="2">IF(OR(ISBLANK(F6),F6=""),"",SUM(F6:N6))</f>
        <v>7</v>
      </c>
      <c r="P6" s="8">
        <f t="shared" ref="P6:X6" si="3">ROUNDDOWN($E4/18,0)+IF(MOD($E4,18)&gt;=P4,1,0)</f>
        <v>1</v>
      </c>
      <c r="Q6" s="8">
        <f t="shared" si="3"/>
        <v>1</v>
      </c>
      <c r="R6" s="8">
        <f t="shared" si="3"/>
        <v>1</v>
      </c>
      <c r="S6" s="8">
        <f t="shared" si="3"/>
        <v>0</v>
      </c>
      <c r="T6" s="8">
        <f t="shared" si="3"/>
        <v>0</v>
      </c>
      <c r="U6" s="8">
        <f t="shared" si="3"/>
        <v>1</v>
      </c>
      <c r="V6" s="8">
        <f t="shared" si="3"/>
        <v>1</v>
      </c>
      <c r="W6" s="8">
        <f t="shared" si="3"/>
        <v>1</v>
      </c>
      <c r="X6" s="8">
        <f t="shared" si="3"/>
        <v>1</v>
      </c>
      <c r="Y6" s="8">
        <f t="shared" ref="Y6:Y7" si="4">IF(OR(ISBLANK(P6),P6=""),"",SUM(P6:X6))</f>
        <v>7</v>
      </c>
      <c r="Z6" s="8">
        <f t="shared" ref="Z6:Z7" si="5">IF(OR(ISBLANK(F6),F6=""),"",SUM(F6:N6)+SUM(P6:X6))</f>
        <v>14</v>
      </c>
      <c r="AC6" s="2"/>
    </row>
    <row r="7" spans="1:29" x14ac:dyDescent="0.2">
      <c r="A7" s="4" t="str" cm="1">
        <f t="array" ref="A7">_xlfn.CONCAT(INDEX(PlayerNames,SUMPRODUCT((PlayerPlayerNo=((ROUNDUP((ROW()-3.5)/4,0))+((VALUE(RIGHT($A$1,1))-1)*4)))*ROW(PlayerNames))-1)," Net")</f>
        <v>Scott O'Hare Net</v>
      </c>
      <c r="B7" s="4"/>
      <c r="C7" s="4"/>
      <c r="D7" s="4"/>
      <c r="E7" s="4"/>
      <c r="F7" s="8">
        <f t="shared" ref="F7:N7" si="6">IF(F5-F6&gt;0,F5-F6,"")</f>
        <v>4</v>
      </c>
      <c r="G7" s="8">
        <f t="shared" si="6"/>
        <v>4</v>
      </c>
      <c r="H7" s="8">
        <f t="shared" si="6"/>
        <v>5</v>
      </c>
      <c r="I7" s="8">
        <f t="shared" si="6"/>
        <v>4</v>
      </c>
      <c r="J7" s="8">
        <f t="shared" si="6"/>
        <v>2</v>
      </c>
      <c r="K7" s="8">
        <f t="shared" si="6"/>
        <v>4</v>
      </c>
      <c r="L7" s="8">
        <f t="shared" si="6"/>
        <v>5</v>
      </c>
      <c r="M7" s="8">
        <f t="shared" si="6"/>
        <v>2</v>
      </c>
      <c r="N7" s="8">
        <f t="shared" si="6"/>
        <v>3</v>
      </c>
      <c r="O7" s="8">
        <f t="shared" si="2"/>
        <v>33</v>
      </c>
      <c r="P7" s="8">
        <f t="shared" ref="P7:X7" si="7">IF(P5-P6&gt;0,P5-P6,"")</f>
        <v>5</v>
      </c>
      <c r="Q7" s="8">
        <f t="shared" si="7"/>
        <v>3</v>
      </c>
      <c r="R7" s="8">
        <f t="shared" si="7"/>
        <v>6</v>
      </c>
      <c r="S7" s="8">
        <f t="shared" si="7"/>
        <v>3</v>
      </c>
      <c r="T7" s="8">
        <f t="shared" si="7"/>
        <v>6</v>
      </c>
      <c r="U7" s="8">
        <f t="shared" si="7"/>
        <v>4</v>
      </c>
      <c r="V7" s="8">
        <f t="shared" si="7"/>
        <v>4</v>
      </c>
      <c r="W7" s="8">
        <f t="shared" si="7"/>
        <v>3</v>
      </c>
      <c r="X7" s="8">
        <f t="shared" si="7"/>
        <v>5</v>
      </c>
      <c r="Y7" s="8">
        <f t="shared" si="4"/>
        <v>39</v>
      </c>
      <c r="Z7" s="8">
        <f t="shared" si="5"/>
        <v>72</v>
      </c>
      <c r="AC7" s="2"/>
    </row>
    <row r="8" spans="1:29" x14ac:dyDescent="0.2">
      <c r="A8" s="4" t="str" cm="1">
        <f t="array" ref="A8">INDEX(PlayerNames,SUMPRODUCT((PlayerPlayerNo=(ROUNDUP((ROW()-3.5)/4,0)+((VALUE(RIGHT($A$1,1))-1)*4)))*ROW(PlayerNames))-1)</f>
        <v>Ryan Sagastume</v>
      </c>
      <c r="B8" s="4" t="str" cm="1">
        <f t="array" ref="B8">INDEX(PlayerTees,SUMPRODUCT((PlayerPlayerNo=((ROUNDUP((ROW()-3.5)/4,0))+((VALUE(RIGHT($A$1,1))-1)*4)))*ROW(PlayerNames))-1)</f>
        <v>Gold/Green</v>
      </c>
      <c r="C8" s="4" cm="1">
        <f t="array" ref="C8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30</v>
      </c>
      <c r="D8" s="4" cm="1">
        <f t="array" ref="D8">IF(C8="","",IF(C8=0,0,IF(INDEX(PlayerGender,SUMPRODUCT((PlayerPlayerNo=(ROUNDUP((ROW()-3.5)/4,0)+((VALUE(RIGHT($A$1,1))-1)*4)))*ROW(PlayerGender))-1)="M",ROUND((C8*(HLOOKUP(B8,MensTees,2,FALSE)/113))+(HLOOKUP(B8,MensTees,3,FALSE)-HLOOKUP(B8,MensTees,4,FALSE)),0),ROUND((C8*(HLOOKUP(B8,WomensTees,2,FALSE)/113))+(HLOOKUP(B8,WomensTees,3,FALSE)-HLOOKUP(B8,WomensTees,4,FALSE)),0))))</f>
        <v>27</v>
      </c>
      <c r="E8" s="4">
        <f>IF(A9 = "Solo",D8,ROUND(D8*HandicapAllowance,0))</f>
        <v>24</v>
      </c>
      <c r="F8" s="5" cm="1">
        <f t="array" ref="F8">IF($C8="","",IF(INDEX(PlayerGender,SUMPRODUCT((PlayerPlayerNo=(ROUNDUP((ROW()-3.5)/4,0)+((VALUE(RIGHT($A$1,1))-1)*4)))*ROW(PlayerGender))-1)="M",INDEX(HoleHandicapM,F$2,0),INDEX(HoleHandicapF,F$2,0)))</f>
        <v>9</v>
      </c>
      <c r="G8" s="5" cm="1">
        <f t="array" ref="G8">IF($C8="","",IF(INDEX(PlayerGender,SUMPRODUCT((PlayerPlayerNo=(ROUNDUP((ROW()-3.5)/4,0)+((VALUE(RIGHT($A$1,1))-1)*4)))*ROW(PlayerGender))-1)="M",INDEX(HoleHandicapM,G$2,0),INDEX(HoleHandicapF,G$2,0)))</f>
        <v>3</v>
      </c>
      <c r="H8" s="5" cm="1">
        <f t="array" ref="H8">IF($C8="","",IF(INDEX(PlayerGender,SUMPRODUCT((PlayerPlayerNo=(ROUNDUP((ROW()-3.5)/4,0)+((VALUE(RIGHT($A$1,1))-1)*4)))*ROW(PlayerGender))-1)="M",INDEX(HoleHandicapM,H$2,0),INDEX(HoleHandicapF,H$2,0)))</f>
        <v>7</v>
      </c>
      <c r="I8" s="5" cm="1">
        <f t="array" ref="I8">IF($C8="","",IF(INDEX(PlayerGender,SUMPRODUCT((PlayerPlayerNo=(ROUNDUP((ROW()-3.5)/4,0)+((VALUE(RIGHT($A$1,1))-1)*4)))*ROW(PlayerGender))-1)="M",INDEX(HoleHandicapM,I$2,0),INDEX(HoleHandicapF,I$2,0)))</f>
        <v>17</v>
      </c>
      <c r="J8" s="5" cm="1">
        <f t="array" ref="J8">IF($C8="","",IF(INDEX(PlayerGender,SUMPRODUCT((PlayerPlayerNo=(ROUNDUP((ROW()-3.5)/4,0)+((VALUE(RIGHT($A$1,1))-1)*4)))*ROW(PlayerGender))-1)="M",INDEX(HoleHandicapM,J$2,0),INDEX(HoleHandicapF,J$2,0)))</f>
        <v>13</v>
      </c>
      <c r="K8" s="5" cm="1">
        <f t="array" ref="K8">IF($C8="","",IF(INDEX(PlayerGender,SUMPRODUCT((PlayerPlayerNo=(ROUNDUP((ROW()-3.5)/4,0)+((VALUE(RIGHT($A$1,1))-1)*4)))*ROW(PlayerGender))-1)="M",INDEX(HoleHandicapM,K$2,0),INDEX(HoleHandicapF,K$2,0)))</f>
        <v>1</v>
      </c>
      <c r="L8" s="5" cm="1">
        <f t="array" ref="L8">IF($C8="","",IF(INDEX(PlayerGender,SUMPRODUCT((PlayerPlayerNo=(ROUNDUP((ROW()-3.5)/4,0)+((VALUE(RIGHT($A$1,1))-1)*4)))*ROW(PlayerGender))-1)="M",INDEX(HoleHandicapM,L$2,0),INDEX(HoleHandicapF,L$2,0)))</f>
        <v>15</v>
      </c>
      <c r="M8" s="5" cm="1">
        <f t="array" ref="M8">IF($C8="","",IF(INDEX(PlayerGender,SUMPRODUCT((PlayerPlayerNo=(ROUNDUP((ROW()-3.5)/4,0)+((VALUE(RIGHT($A$1,1))-1)*4)))*ROW(PlayerGender))-1)="M",INDEX(HoleHandicapM,M$2,0),INDEX(HoleHandicapF,M$2,0)))</f>
        <v>11</v>
      </c>
      <c r="N8" s="5" cm="1">
        <f t="array" ref="N8">IF($C8="","",IF(INDEX(PlayerGender,SUMPRODUCT((PlayerPlayerNo=(ROUNDUP((ROW()-3.5)/4,0)+((VALUE(RIGHT($A$1,1))-1)*4)))*ROW(PlayerGender))-1)="M",INDEX(HoleHandicapM,N$2,0),INDEX(HoleHandicapF,N$2,0)))</f>
        <v>5</v>
      </c>
      <c r="P8" s="5" cm="1">
        <f t="array" ref="P8">IF($C8="","",IF(INDEX(PlayerGender,SUMPRODUCT((PlayerPlayerNo=(ROUNDUP((ROW()-3.5)/4,0)+((VALUE(RIGHT($A$1,1))-1)*4)))*ROW(PlayerGender))-1)="M",INDEX(HoleHandicapM,P$2,0),INDEX(HoleHandicapF,P$2,0)))</f>
        <v>10</v>
      </c>
      <c r="Q8" s="5" cm="1">
        <f t="array" ref="Q8">IF($C8="","",IF(INDEX(PlayerGender,SUMPRODUCT((PlayerPlayerNo=(ROUNDUP((ROW()-3.5)/4,0)+((VALUE(RIGHT($A$1,1))-1)*4)))*ROW(PlayerGender))-1)="M",INDEX(HoleHandicapM,Q$2,0),INDEX(HoleHandicapF,Q$2,0)))</f>
        <v>4</v>
      </c>
      <c r="R8" s="5" cm="1">
        <f t="array" ref="R8">IF($C8="","",IF(INDEX(PlayerGender,SUMPRODUCT((PlayerPlayerNo=(ROUNDUP((ROW()-3.5)/4,0)+((VALUE(RIGHT($A$1,1))-1)*4)))*ROW(PlayerGender))-1)="M",INDEX(HoleHandicapM,R$2,0),INDEX(HoleHandicapF,R$2,0)))</f>
        <v>8</v>
      </c>
      <c r="S8" s="5" cm="1">
        <f t="array" ref="S8">IF($C8="","",IF(INDEX(PlayerGender,SUMPRODUCT((PlayerPlayerNo=(ROUNDUP((ROW()-3.5)/4,0)+((VALUE(RIGHT($A$1,1))-1)*4)))*ROW(PlayerGender))-1)="M",INDEX(HoleHandicapM,S$2,0),INDEX(HoleHandicapF,S$2,0)))</f>
        <v>16</v>
      </c>
      <c r="T8" s="5" cm="1">
        <f t="array" ref="T8">IF($C8="","",IF(INDEX(PlayerGender,SUMPRODUCT((PlayerPlayerNo=(ROUNDUP((ROW()-3.5)/4,0)+((VALUE(RIGHT($A$1,1))-1)*4)))*ROW(PlayerGender))-1)="M",INDEX(HoleHandicapM,T$2,0),INDEX(HoleHandicapF,T$2,0)))</f>
        <v>18</v>
      </c>
      <c r="U8" s="5" cm="1">
        <f t="array" ref="U8">IF($C8="","",IF(INDEX(PlayerGender,SUMPRODUCT((PlayerPlayerNo=(ROUNDUP((ROW()-3.5)/4,0)+((VALUE(RIGHT($A$1,1))-1)*4)))*ROW(PlayerGender))-1)="M",INDEX(HoleHandicapM,U$2,0),INDEX(HoleHandicapF,U$2,0)))</f>
        <v>2</v>
      </c>
      <c r="V8" s="5" cm="1">
        <f t="array" ref="V8">IF($C8="","",IF(INDEX(PlayerGender,SUMPRODUCT((PlayerPlayerNo=(ROUNDUP((ROW()-3.5)/4,0)+((VALUE(RIGHT($A$1,1))-1)*4)))*ROW(PlayerGender))-1)="M",INDEX(HoleHandicapM,V$2,0),INDEX(HoleHandicapF,V$2,0)))</f>
        <v>14</v>
      </c>
      <c r="W8" s="5" cm="1">
        <f t="array" ref="W8">IF($C8="","",IF(INDEX(PlayerGender,SUMPRODUCT((PlayerPlayerNo=(ROUNDUP((ROW()-3.5)/4,0)+((VALUE(RIGHT($A$1,1))-1)*4)))*ROW(PlayerGender))-1)="M",INDEX(HoleHandicapM,W$2,0),INDEX(HoleHandicapF,W$2,0)))</f>
        <v>12</v>
      </c>
      <c r="X8" s="5" cm="1">
        <f t="array" ref="X8">IF($C8="","",IF(INDEX(PlayerGender,SUMPRODUCT((PlayerPlayerNo=(ROUNDUP((ROW()-3.5)/4,0)+((VALUE(RIGHT($A$1,1))-1)*4)))*ROW(PlayerGender))-1)="M",INDEX(HoleHandicapM,X$2,0),INDEX(HoleHandicapF,X$2,0)))</f>
        <v>6</v>
      </c>
      <c r="Y8" s="5"/>
      <c r="Z8" s="4"/>
      <c r="AC8" s="2"/>
    </row>
    <row r="9" spans="1:29" x14ac:dyDescent="0.2">
      <c r="A9" s="4" t="str" cm="1">
        <f t="array" ref="A9">_xlfn.CONCAT(INDEX(PlayerNames,SUMPRODUCT((PlayerPlayerNo=(ROUNDUP((ROW()-3.5)/4,0)+((VALUE(RIGHT($A$1,1))-1)*4)))*ROW(PlayerNames))-1)," Gross")</f>
        <v>Ryan Sagastume Gross</v>
      </c>
      <c r="B9" s="4"/>
      <c r="C9" s="4"/>
      <c r="D9" s="4"/>
      <c r="E9" s="4"/>
      <c r="F9" s="4">
        <v>5</v>
      </c>
      <c r="G9" s="4">
        <v>7</v>
      </c>
      <c r="H9" s="4">
        <v>6</v>
      </c>
      <c r="I9" s="4">
        <v>6</v>
      </c>
      <c r="J9" s="4">
        <v>5</v>
      </c>
      <c r="K9" s="4">
        <v>8</v>
      </c>
      <c r="L9" s="4">
        <v>7</v>
      </c>
      <c r="M9" s="4">
        <v>6</v>
      </c>
      <c r="N9" s="4">
        <v>8</v>
      </c>
      <c r="O9" s="8">
        <f t="shared" ref="O9" si="8">IF(OR(ISBLANK(F9),F9=""),"",SUM(F9:N9))</f>
        <v>58</v>
      </c>
      <c r="P9" s="4">
        <v>7</v>
      </c>
      <c r="Q9" s="4">
        <v>6</v>
      </c>
      <c r="R9" s="4">
        <v>7</v>
      </c>
      <c r="S9" s="4">
        <v>3</v>
      </c>
      <c r="T9" s="4">
        <v>5</v>
      </c>
      <c r="U9" s="4">
        <v>7</v>
      </c>
      <c r="V9" s="4">
        <v>7</v>
      </c>
      <c r="W9" s="4">
        <v>5</v>
      </c>
      <c r="X9" s="4">
        <v>6</v>
      </c>
      <c r="Y9" s="8">
        <f>IF(SUM(P9:X9)&gt;0,SUM(P9:X9),"")</f>
        <v>53</v>
      </c>
      <c r="Z9" s="8">
        <f>IF((SUM(F9:N9)+SUM(P9:X9))&gt;0,SUM(F9:N9)+SUM(P9:X9),"")</f>
        <v>111</v>
      </c>
      <c r="AC9" s="2"/>
    </row>
    <row r="10" spans="1:29" x14ac:dyDescent="0.2">
      <c r="A10" s="4" t="str" cm="1">
        <f t="array" ref="A10">_xlfn.CONCAT(INDEX(PlayerNames,SUMPRODUCT((PlayerPlayerNo=((ROUNDUP((ROW()-3.5)/4,0))+((VALUE(RIGHT($A$1,1))-1)*4)))*ROW(PlayerNames))-1)," Handicap Strokes")</f>
        <v>Ryan Sagastume Handicap Strokes</v>
      </c>
      <c r="B10" s="4"/>
      <c r="C10" s="4"/>
      <c r="D10" s="4"/>
      <c r="E10" s="4"/>
      <c r="F10" s="8">
        <f>ROUNDDOWN($E8/18,0)+IF(MOD($E8,18)&gt;=F8,1,0)</f>
        <v>1</v>
      </c>
      <c r="G10" s="8">
        <f t="shared" ref="G10:N10" si="9">ROUNDDOWN($E8/18,0)+IF(MOD($E8,18)&gt;=G8,1,0)</f>
        <v>2</v>
      </c>
      <c r="H10" s="8">
        <f t="shared" si="9"/>
        <v>1</v>
      </c>
      <c r="I10" s="8">
        <f t="shared" si="9"/>
        <v>1</v>
      </c>
      <c r="J10" s="8">
        <f t="shared" si="9"/>
        <v>1</v>
      </c>
      <c r="K10" s="8">
        <f t="shared" si="9"/>
        <v>2</v>
      </c>
      <c r="L10" s="8">
        <f t="shared" si="9"/>
        <v>1</v>
      </c>
      <c r="M10" s="8">
        <f t="shared" si="9"/>
        <v>1</v>
      </c>
      <c r="N10" s="8">
        <f t="shared" si="9"/>
        <v>2</v>
      </c>
      <c r="O10" s="8">
        <f t="shared" ref="O10:O11" si="10">IF(OR(ISBLANK(F10),F10=""),"",SUM(F10:N10))</f>
        <v>12</v>
      </c>
      <c r="P10" s="8">
        <f t="shared" ref="P10:X10" si="11">ROUNDDOWN($E8/18,0)+IF(MOD($E8,18)&gt;=P8,1,0)</f>
        <v>1</v>
      </c>
      <c r="Q10" s="8">
        <f t="shared" si="11"/>
        <v>2</v>
      </c>
      <c r="R10" s="8">
        <f t="shared" si="11"/>
        <v>1</v>
      </c>
      <c r="S10" s="8">
        <f t="shared" si="11"/>
        <v>1</v>
      </c>
      <c r="T10" s="8">
        <f t="shared" si="11"/>
        <v>1</v>
      </c>
      <c r="U10" s="8">
        <f t="shared" si="11"/>
        <v>2</v>
      </c>
      <c r="V10" s="8">
        <f t="shared" si="11"/>
        <v>1</v>
      </c>
      <c r="W10" s="8">
        <f t="shared" si="11"/>
        <v>1</v>
      </c>
      <c r="X10" s="8">
        <f t="shared" si="11"/>
        <v>2</v>
      </c>
      <c r="Y10" s="8">
        <f t="shared" ref="Y10:Y11" si="12">IF(OR(ISBLANK(P10),P10=""),"",SUM(P10:X10))</f>
        <v>12</v>
      </c>
      <c r="Z10" s="8">
        <f t="shared" ref="Z10:Z11" si="13">IF(OR(ISBLANK(F10),F10=""),"",SUM(F10:N10)+SUM(P10:X10))</f>
        <v>24</v>
      </c>
      <c r="AC10" s="2"/>
    </row>
    <row r="11" spans="1:29" x14ac:dyDescent="0.2">
      <c r="A11" s="4" t="str" cm="1">
        <f t="array" ref="A11">_xlfn.CONCAT(INDEX(PlayerNames,SUMPRODUCT((PlayerPlayerNo=((ROUNDUP((ROW()-3.5)/4,0))+((VALUE(RIGHT($A$1,1))-1)*4)))*ROW(PlayerNames))-1)," Net")</f>
        <v>Ryan Sagastume Net</v>
      </c>
      <c r="B11" s="4"/>
      <c r="C11" s="4"/>
      <c r="D11" s="4"/>
      <c r="E11" s="4"/>
      <c r="F11" s="8">
        <f t="shared" ref="F11:N11" si="14">IF(F9-F10&gt;0,F9-F10,"")</f>
        <v>4</v>
      </c>
      <c r="G11" s="8">
        <f t="shared" si="14"/>
        <v>5</v>
      </c>
      <c r="H11" s="8">
        <f t="shared" si="14"/>
        <v>5</v>
      </c>
      <c r="I11" s="8">
        <f t="shared" si="14"/>
        <v>5</v>
      </c>
      <c r="J11" s="8">
        <f t="shared" si="14"/>
        <v>4</v>
      </c>
      <c r="K11" s="8">
        <f t="shared" si="14"/>
        <v>6</v>
      </c>
      <c r="L11" s="8">
        <f t="shared" si="14"/>
        <v>6</v>
      </c>
      <c r="M11" s="8">
        <f t="shared" si="14"/>
        <v>5</v>
      </c>
      <c r="N11" s="8">
        <f t="shared" si="14"/>
        <v>6</v>
      </c>
      <c r="O11" s="8">
        <f t="shared" si="10"/>
        <v>46</v>
      </c>
      <c r="P11" s="8">
        <f t="shared" ref="P11:X11" si="15">IF(P9-P10&gt;0,P9-P10,"")</f>
        <v>6</v>
      </c>
      <c r="Q11" s="8">
        <f t="shared" si="15"/>
        <v>4</v>
      </c>
      <c r="R11" s="8">
        <f t="shared" si="15"/>
        <v>6</v>
      </c>
      <c r="S11" s="8">
        <f t="shared" si="15"/>
        <v>2</v>
      </c>
      <c r="T11" s="8">
        <f t="shared" si="15"/>
        <v>4</v>
      </c>
      <c r="U11" s="8">
        <f t="shared" si="15"/>
        <v>5</v>
      </c>
      <c r="V11" s="8">
        <f t="shared" si="15"/>
        <v>6</v>
      </c>
      <c r="W11" s="8">
        <f t="shared" si="15"/>
        <v>4</v>
      </c>
      <c r="X11" s="8">
        <f t="shared" si="15"/>
        <v>4</v>
      </c>
      <c r="Y11" s="8">
        <f t="shared" si="12"/>
        <v>41</v>
      </c>
      <c r="Z11" s="8">
        <f t="shared" si="13"/>
        <v>87</v>
      </c>
      <c r="AC11" s="2"/>
    </row>
    <row r="12" spans="1:29" x14ac:dyDescent="0.2">
      <c r="A12" s="4" t="str" cm="1">
        <f t="array" ref="A12">INDEX(PlayerNames,SUMPRODUCT((PlayerPlayerNo=(ROUNDUP((ROW()-3.5)/4,0)+((VALUE(RIGHT($A$1,1))-1)*4)))*ROW(PlayerNames))-1)</f>
        <v>Dante Kobek</v>
      </c>
      <c r="B12" s="4" t="str" cm="1">
        <f t="array" ref="B12">INDEX(PlayerTees,SUMPRODUCT((PlayerPlayerNo=((ROUNDUP((ROW()-3.5)/4,0))+((VALUE(RIGHT($A$1,1))-1)*4)))*ROW(PlayerNames))-1)</f>
        <v>Gold</v>
      </c>
      <c r="C12" s="4" cm="1">
        <f t="array" ref="C12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19.899999999999999</v>
      </c>
      <c r="D12" s="4" cm="1">
        <f t="array" ref="D12">IF(C12="","",IF(C12=0,0,IF(INDEX(PlayerGender,SUMPRODUCT((PlayerPlayerNo=(ROUNDUP((ROW()-3.5)/4,0)+((VALUE(RIGHT($A$1,1))-1)*4)))*ROW(PlayerGender))-1)="M",ROUND((C12*(HLOOKUP(B12,MensTees,2,FALSE)/113))+(HLOOKUP(B12,MensTees,3,FALSE)-HLOOKUP(B12,MensTees,4,FALSE)),0),ROUND((C12*(HLOOKUP(B12,WomensTees,2,FALSE)/113))+(HLOOKUP(B12,WomensTees,3,FALSE)-HLOOKUP(B12,WomensTees,4,FALSE)),0))))</f>
        <v>19</v>
      </c>
      <c r="E12" s="4">
        <f>IF(A13 = "Solo",D12,ROUND(D12*HandicapAllowance,0))</f>
        <v>17</v>
      </c>
      <c r="F12" s="5" cm="1">
        <f t="array" ref="F12">IF($C12="","",IF(INDEX(PlayerGender,SUMPRODUCT((PlayerPlayerNo=(ROUNDUP((ROW()-3.5)/4,0)+((VALUE(RIGHT($A$1,1))-1)*4)))*ROW(PlayerGender))-1)="M",INDEX(HoleHandicapM,F$2,0),INDEX(HoleHandicapF,F$2,0)))</f>
        <v>9</v>
      </c>
      <c r="G12" s="5" cm="1">
        <f t="array" ref="G12">IF($C12="","",IF(INDEX(PlayerGender,SUMPRODUCT((PlayerPlayerNo=(ROUNDUP((ROW()-3.5)/4,0)+((VALUE(RIGHT($A$1,1))-1)*4)))*ROW(PlayerGender))-1)="M",INDEX(HoleHandicapM,G$2,0),INDEX(HoleHandicapF,G$2,0)))</f>
        <v>3</v>
      </c>
      <c r="H12" s="5" cm="1">
        <f t="array" ref="H12">IF($C12="","",IF(INDEX(PlayerGender,SUMPRODUCT((PlayerPlayerNo=(ROUNDUP((ROW()-3.5)/4,0)+((VALUE(RIGHT($A$1,1))-1)*4)))*ROW(PlayerGender))-1)="M",INDEX(HoleHandicapM,H$2,0),INDEX(HoleHandicapF,H$2,0)))</f>
        <v>7</v>
      </c>
      <c r="I12" s="5" cm="1">
        <f t="array" ref="I12">IF($C12="","",IF(INDEX(PlayerGender,SUMPRODUCT((PlayerPlayerNo=(ROUNDUP((ROW()-3.5)/4,0)+((VALUE(RIGHT($A$1,1))-1)*4)))*ROW(PlayerGender))-1)="M",INDEX(HoleHandicapM,I$2,0),INDEX(HoleHandicapF,I$2,0)))</f>
        <v>17</v>
      </c>
      <c r="J12" s="5" cm="1">
        <f t="array" ref="J12">IF($C12="","",IF(INDEX(PlayerGender,SUMPRODUCT((PlayerPlayerNo=(ROUNDUP((ROW()-3.5)/4,0)+((VALUE(RIGHT($A$1,1))-1)*4)))*ROW(PlayerGender))-1)="M",INDEX(HoleHandicapM,J$2,0),INDEX(HoleHandicapF,J$2,0)))</f>
        <v>13</v>
      </c>
      <c r="K12" s="5" cm="1">
        <f t="array" ref="K12">IF($C12="","",IF(INDEX(PlayerGender,SUMPRODUCT((PlayerPlayerNo=(ROUNDUP((ROW()-3.5)/4,0)+((VALUE(RIGHT($A$1,1))-1)*4)))*ROW(PlayerGender))-1)="M",INDEX(HoleHandicapM,K$2,0),INDEX(HoleHandicapF,K$2,0)))</f>
        <v>1</v>
      </c>
      <c r="L12" s="5" cm="1">
        <f t="array" ref="L12">IF($C12="","",IF(INDEX(PlayerGender,SUMPRODUCT((PlayerPlayerNo=(ROUNDUP((ROW()-3.5)/4,0)+((VALUE(RIGHT($A$1,1))-1)*4)))*ROW(PlayerGender))-1)="M",INDEX(HoleHandicapM,L$2,0),INDEX(HoleHandicapF,L$2,0)))</f>
        <v>15</v>
      </c>
      <c r="M12" s="5" cm="1">
        <f t="array" ref="M12">IF($C12="","",IF(INDEX(PlayerGender,SUMPRODUCT((PlayerPlayerNo=(ROUNDUP((ROW()-3.5)/4,0)+((VALUE(RIGHT($A$1,1))-1)*4)))*ROW(PlayerGender))-1)="M",INDEX(HoleHandicapM,M$2,0),INDEX(HoleHandicapF,M$2,0)))</f>
        <v>11</v>
      </c>
      <c r="N12" s="5" cm="1">
        <f t="array" ref="N12">IF($C12="","",IF(INDEX(PlayerGender,SUMPRODUCT((PlayerPlayerNo=(ROUNDUP((ROW()-3.5)/4,0)+((VALUE(RIGHT($A$1,1))-1)*4)))*ROW(PlayerGender))-1)="M",INDEX(HoleHandicapM,N$2,0),INDEX(HoleHandicapF,N$2,0)))</f>
        <v>5</v>
      </c>
      <c r="P12" s="5" cm="1">
        <f t="array" ref="P12">IF($C12="","",IF(INDEX(PlayerGender,SUMPRODUCT((PlayerPlayerNo=(ROUNDUP((ROW()-3.5)/4,0)+((VALUE(RIGHT($A$1,1))-1)*4)))*ROW(PlayerGender))-1)="M",INDEX(HoleHandicapM,P$2,0),INDEX(HoleHandicapF,P$2,0)))</f>
        <v>10</v>
      </c>
      <c r="Q12" s="5" cm="1">
        <f t="array" ref="Q12">IF($C12="","",IF(INDEX(PlayerGender,SUMPRODUCT((PlayerPlayerNo=(ROUNDUP((ROW()-3.5)/4,0)+((VALUE(RIGHT($A$1,1))-1)*4)))*ROW(PlayerGender))-1)="M",INDEX(HoleHandicapM,Q$2,0),INDEX(HoleHandicapF,Q$2,0)))</f>
        <v>4</v>
      </c>
      <c r="R12" s="5" cm="1">
        <f t="array" ref="R12">IF($C12="","",IF(INDEX(PlayerGender,SUMPRODUCT((PlayerPlayerNo=(ROUNDUP((ROW()-3.5)/4,0)+((VALUE(RIGHT($A$1,1))-1)*4)))*ROW(PlayerGender))-1)="M",INDEX(HoleHandicapM,R$2,0),INDEX(HoleHandicapF,R$2,0)))</f>
        <v>8</v>
      </c>
      <c r="S12" s="5" cm="1">
        <f t="array" ref="S12">IF($C12="","",IF(INDEX(PlayerGender,SUMPRODUCT((PlayerPlayerNo=(ROUNDUP((ROW()-3.5)/4,0)+((VALUE(RIGHT($A$1,1))-1)*4)))*ROW(PlayerGender))-1)="M",INDEX(HoleHandicapM,S$2,0),INDEX(HoleHandicapF,S$2,0)))</f>
        <v>16</v>
      </c>
      <c r="T12" s="5" cm="1">
        <f t="array" ref="T12">IF($C12="","",IF(INDEX(PlayerGender,SUMPRODUCT((PlayerPlayerNo=(ROUNDUP((ROW()-3.5)/4,0)+((VALUE(RIGHT($A$1,1))-1)*4)))*ROW(PlayerGender))-1)="M",INDEX(HoleHandicapM,T$2,0),INDEX(HoleHandicapF,T$2,0)))</f>
        <v>18</v>
      </c>
      <c r="U12" s="5" cm="1">
        <f t="array" ref="U12">IF($C12="","",IF(INDEX(PlayerGender,SUMPRODUCT((PlayerPlayerNo=(ROUNDUP((ROW()-3.5)/4,0)+((VALUE(RIGHT($A$1,1))-1)*4)))*ROW(PlayerGender))-1)="M",INDEX(HoleHandicapM,U$2,0),INDEX(HoleHandicapF,U$2,0)))</f>
        <v>2</v>
      </c>
      <c r="V12" s="5" cm="1">
        <f t="array" ref="V12">IF($C12="","",IF(INDEX(PlayerGender,SUMPRODUCT((PlayerPlayerNo=(ROUNDUP((ROW()-3.5)/4,0)+((VALUE(RIGHT($A$1,1))-1)*4)))*ROW(PlayerGender))-1)="M",INDEX(HoleHandicapM,V$2,0),INDEX(HoleHandicapF,V$2,0)))</f>
        <v>14</v>
      </c>
      <c r="W12" s="5" cm="1">
        <f t="array" ref="W12">IF($C12="","",IF(INDEX(PlayerGender,SUMPRODUCT((PlayerPlayerNo=(ROUNDUP((ROW()-3.5)/4,0)+((VALUE(RIGHT($A$1,1))-1)*4)))*ROW(PlayerGender))-1)="M",INDEX(HoleHandicapM,W$2,0),INDEX(HoleHandicapF,W$2,0)))</f>
        <v>12</v>
      </c>
      <c r="X12" s="5" cm="1">
        <f t="array" ref="X12">IF($C12="","",IF(INDEX(PlayerGender,SUMPRODUCT((PlayerPlayerNo=(ROUNDUP((ROW()-3.5)/4,0)+((VALUE(RIGHT($A$1,1))-1)*4)))*ROW(PlayerGender))-1)="M",INDEX(HoleHandicapM,X$2,0),INDEX(HoleHandicapF,X$2,0)))</f>
        <v>6</v>
      </c>
      <c r="Y12" s="5"/>
      <c r="Z12" s="4"/>
      <c r="AC12" s="2"/>
    </row>
    <row r="13" spans="1:29" x14ac:dyDescent="0.2">
      <c r="A13" s="4" t="str" cm="1">
        <f t="array" ref="A13">_xlfn.CONCAT(INDEX(PlayerNames,SUMPRODUCT((PlayerPlayerNo=(ROUNDUP((ROW()-3.5)/4,0)+((VALUE(RIGHT($A$1,1))-1)*4)))*ROW(PlayerNames))-1)," Gross")</f>
        <v>Dante Kobek Gross</v>
      </c>
      <c r="B13" s="4"/>
      <c r="C13" s="4"/>
      <c r="D13" s="4"/>
      <c r="E13" s="4"/>
      <c r="F13" s="4">
        <v>7</v>
      </c>
      <c r="G13" s="4">
        <v>8</v>
      </c>
      <c r="H13" s="4">
        <v>7</v>
      </c>
      <c r="I13" s="4">
        <v>4</v>
      </c>
      <c r="J13" s="4">
        <v>4</v>
      </c>
      <c r="K13" s="4">
        <v>4</v>
      </c>
      <c r="L13" s="4">
        <v>7</v>
      </c>
      <c r="M13" s="4">
        <v>4</v>
      </c>
      <c r="N13" s="4">
        <v>8</v>
      </c>
      <c r="O13" s="8">
        <f t="shared" ref="O13" si="16">IF(OR(ISBLANK(F13),F13=""),"",SUM(F13:N13))</f>
        <v>53</v>
      </c>
      <c r="P13" s="4">
        <v>7</v>
      </c>
      <c r="Q13" s="4">
        <v>5</v>
      </c>
      <c r="R13" s="4">
        <v>5</v>
      </c>
      <c r="S13" s="4">
        <v>3</v>
      </c>
      <c r="T13" s="4">
        <v>4</v>
      </c>
      <c r="U13" s="4">
        <v>5</v>
      </c>
      <c r="V13" s="4">
        <v>5</v>
      </c>
      <c r="W13" s="4">
        <v>3</v>
      </c>
      <c r="X13" s="4">
        <v>8</v>
      </c>
      <c r="Y13" s="8">
        <f>IF(SUM(P13:X13)&gt;0,SUM(P13:X13),"")</f>
        <v>45</v>
      </c>
      <c r="Z13" s="8">
        <f>IF((SUM(F13:N13)+SUM(P13:X13))&gt;0,SUM(F13:N13)+SUM(P13:X13),"")</f>
        <v>98</v>
      </c>
      <c r="AC13" s="2"/>
    </row>
    <row r="14" spans="1:29" x14ac:dyDescent="0.2">
      <c r="A14" s="4" t="str" cm="1">
        <f t="array" ref="A14">_xlfn.CONCAT(INDEX(PlayerNames,SUMPRODUCT((PlayerPlayerNo=((ROUNDUP((ROW()-3.5)/4,0))+((VALUE(RIGHT($A$1,1))-1)*4)))*ROW(PlayerNames))-1)," Handicap Strokes")</f>
        <v>Dante Kobek Handicap Strokes</v>
      </c>
      <c r="B14" s="4"/>
      <c r="C14" s="4"/>
      <c r="D14" s="4"/>
      <c r="E14" s="4"/>
      <c r="F14" s="8">
        <f>ROUNDDOWN($E12/18,0)+IF(MOD($E12,18)&gt;=F12,1,0)</f>
        <v>1</v>
      </c>
      <c r="G14" s="8">
        <f t="shared" ref="G14:N14" si="17">ROUNDDOWN($E12/18,0)+IF(MOD($E12,18)&gt;=G12,1,0)</f>
        <v>1</v>
      </c>
      <c r="H14" s="8">
        <f t="shared" si="17"/>
        <v>1</v>
      </c>
      <c r="I14" s="8">
        <f t="shared" si="17"/>
        <v>1</v>
      </c>
      <c r="J14" s="8">
        <f t="shared" si="17"/>
        <v>1</v>
      </c>
      <c r="K14" s="8">
        <f t="shared" si="17"/>
        <v>1</v>
      </c>
      <c r="L14" s="8">
        <f t="shared" si="17"/>
        <v>1</v>
      </c>
      <c r="M14" s="8">
        <f t="shared" si="17"/>
        <v>1</v>
      </c>
      <c r="N14" s="8">
        <f t="shared" si="17"/>
        <v>1</v>
      </c>
      <c r="O14" s="8">
        <f t="shared" ref="O14:O15" si="18">IF(OR(ISBLANK(F14),F14=""),"",SUM(F14:N14))</f>
        <v>9</v>
      </c>
      <c r="P14" s="8">
        <f t="shared" ref="P14:X14" si="19">ROUNDDOWN($E12/18,0)+IF(MOD($E12,18)&gt;=P12,1,0)</f>
        <v>1</v>
      </c>
      <c r="Q14" s="8">
        <f t="shared" si="19"/>
        <v>1</v>
      </c>
      <c r="R14" s="8">
        <f t="shared" si="19"/>
        <v>1</v>
      </c>
      <c r="S14" s="8">
        <f t="shared" si="19"/>
        <v>1</v>
      </c>
      <c r="T14" s="8">
        <f t="shared" si="19"/>
        <v>0</v>
      </c>
      <c r="U14" s="8">
        <f t="shared" si="19"/>
        <v>1</v>
      </c>
      <c r="V14" s="8">
        <f t="shared" si="19"/>
        <v>1</v>
      </c>
      <c r="W14" s="8">
        <f t="shared" si="19"/>
        <v>1</v>
      </c>
      <c r="X14" s="8">
        <f t="shared" si="19"/>
        <v>1</v>
      </c>
      <c r="Y14" s="8">
        <f t="shared" ref="Y14:Y15" si="20">IF(OR(ISBLANK(P14),P14=""),"",SUM(P14:X14))</f>
        <v>8</v>
      </c>
      <c r="Z14" s="8">
        <f t="shared" ref="Z14:Z15" si="21">IF(OR(ISBLANK(F14),F14=""),"",SUM(F14:N14)+SUM(P14:X14))</f>
        <v>17</v>
      </c>
      <c r="AC14" s="2"/>
    </row>
    <row r="15" spans="1:29" x14ac:dyDescent="0.2">
      <c r="A15" s="4" t="str" cm="1">
        <f t="array" ref="A15">_xlfn.CONCAT(INDEX(PlayerNames,SUMPRODUCT((PlayerPlayerNo=((ROUNDUP((ROW()-3.5)/4,0))+((VALUE(RIGHT($A$1,1))-1)*4)))*ROW(PlayerNames))-1)," Net")</f>
        <v>Dante Kobek Net</v>
      </c>
      <c r="B15" s="4"/>
      <c r="C15" s="4"/>
      <c r="D15" s="4"/>
      <c r="E15" s="4"/>
      <c r="F15" s="8">
        <f t="shared" ref="F15:N15" si="22">IF(F13-F14&gt;0,F13-F14,"")</f>
        <v>6</v>
      </c>
      <c r="G15" s="8">
        <f t="shared" si="22"/>
        <v>7</v>
      </c>
      <c r="H15" s="8">
        <f t="shared" si="22"/>
        <v>6</v>
      </c>
      <c r="I15" s="8">
        <f t="shared" si="22"/>
        <v>3</v>
      </c>
      <c r="J15" s="8">
        <f t="shared" si="22"/>
        <v>3</v>
      </c>
      <c r="K15" s="8">
        <f t="shared" si="22"/>
        <v>3</v>
      </c>
      <c r="L15" s="8">
        <f t="shared" si="22"/>
        <v>6</v>
      </c>
      <c r="M15" s="8">
        <f t="shared" si="22"/>
        <v>3</v>
      </c>
      <c r="N15" s="8">
        <f t="shared" si="22"/>
        <v>7</v>
      </c>
      <c r="O15" s="8">
        <f t="shared" si="18"/>
        <v>44</v>
      </c>
      <c r="P15" s="8">
        <f t="shared" ref="P15:X15" si="23">IF(P13-P14&gt;0,P13-P14,"")</f>
        <v>6</v>
      </c>
      <c r="Q15" s="8">
        <f t="shared" si="23"/>
        <v>4</v>
      </c>
      <c r="R15" s="8">
        <f t="shared" si="23"/>
        <v>4</v>
      </c>
      <c r="S15" s="8">
        <f t="shared" si="23"/>
        <v>2</v>
      </c>
      <c r="T15" s="8">
        <f t="shared" si="23"/>
        <v>4</v>
      </c>
      <c r="U15" s="8">
        <f t="shared" si="23"/>
        <v>4</v>
      </c>
      <c r="V15" s="8">
        <f t="shared" si="23"/>
        <v>4</v>
      </c>
      <c r="W15" s="8">
        <f t="shared" si="23"/>
        <v>2</v>
      </c>
      <c r="X15" s="8">
        <f t="shared" si="23"/>
        <v>7</v>
      </c>
      <c r="Y15" s="8">
        <f t="shared" si="20"/>
        <v>37</v>
      </c>
      <c r="Z15" s="8">
        <f t="shared" si="21"/>
        <v>81</v>
      </c>
      <c r="AC15" s="2"/>
    </row>
    <row r="16" spans="1:29" x14ac:dyDescent="0.2">
      <c r="A16" s="4" t="str" cm="1">
        <f t="array" ref="A16">INDEX(PlayerNames,SUMPRODUCT((PlayerPlayerNo=(ROUNDUP((ROW()-3.5)/4,0)+((VALUE(RIGHT($A$1,1))-1)*4)))*ROW(PlayerNames))-1)</f>
        <v>Chris Lundhagen</v>
      </c>
      <c r="B16" s="4" t="str" cm="1">
        <f t="array" ref="B16">INDEX(PlayerTees,SUMPRODUCT((PlayerPlayerNo=((ROUNDUP((ROW()-3.5)/4,0))+((VALUE(RIGHT($A$1,1))-1)*4)))*ROW(PlayerNames))-1)</f>
        <v>Gold</v>
      </c>
      <c r="C16" s="4" cm="1">
        <f t="array" ref="C16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28.7</v>
      </c>
      <c r="D16" s="4" cm="1">
        <f t="array" ref="D16">IF(C16="","",IF(C16=0,0,IF(INDEX(PlayerGender,SUMPRODUCT((PlayerPlayerNo=(ROUNDUP((ROW()-3.5)/4,0)+((VALUE(RIGHT($A$1,1))-1)*4)))*ROW(PlayerGender))-1)="M",ROUND((C16*(HLOOKUP(B16,MensTees,2,FALSE)/113))+(HLOOKUP(B16,MensTees,3,FALSE)-HLOOKUP(B16,MensTees,4,FALSE)),0),ROUND((C16*(HLOOKUP(B16,WomensTees,2,FALSE)/113))+(HLOOKUP(B16,WomensTees,3,FALSE)-HLOOKUP(B16,WomensTees,4,FALSE)),0))))</f>
        <v>28</v>
      </c>
      <c r="E16" s="4">
        <f>IF(A17 = "Solo",D16,ROUND(D16*HandicapAllowance,0))</f>
        <v>25</v>
      </c>
      <c r="F16" s="5" cm="1">
        <f t="array" ref="F16">IF($C16="","",IF(INDEX(PlayerGender,SUMPRODUCT((PlayerPlayerNo=(ROUNDUP((ROW()-3.5)/4,0)+((VALUE(RIGHT($A$1,1))-1)*4)))*ROW(PlayerGender))-1)="M",INDEX(HoleHandicapM,F$2,0),INDEX(HoleHandicapF,F$2,0)))</f>
        <v>9</v>
      </c>
      <c r="G16" s="5" cm="1">
        <f t="array" ref="G16">IF($C16="","",IF(INDEX(PlayerGender,SUMPRODUCT((PlayerPlayerNo=(ROUNDUP((ROW()-3.5)/4,0)+((VALUE(RIGHT($A$1,1))-1)*4)))*ROW(PlayerGender))-1)="M",INDEX(HoleHandicapM,G$2,0),INDEX(HoleHandicapF,G$2,0)))</f>
        <v>3</v>
      </c>
      <c r="H16" s="5" cm="1">
        <f t="array" ref="H16">IF($C16="","",IF(INDEX(PlayerGender,SUMPRODUCT((PlayerPlayerNo=(ROUNDUP((ROW()-3.5)/4,0)+((VALUE(RIGHT($A$1,1))-1)*4)))*ROW(PlayerGender))-1)="M",INDEX(HoleHandicapM,H$2,0),INDEX(HoleHandicapF,H$2,0)))</f>
        <v>7</v>
      </c>
      <c r="I16" s="5" cm="1">
        <f t="array" ref="I16">IF($C16="","",IF(INDEX(PlayerGender,SUMPRODUCT((PlayerPlayerNo=(ROUNDUP((ROW()-3.5)/4,0)+((VALUE(RIGHT($A$1,1))-1)*4)))*ROW(PlayerGender))-1)="M",INDEX(HoleHandicapM,I$2,0),INDEX(HoleHandicapF,I$2,0)))</f>
        <v>17</v>
      </c>
      <c r="J16" s="5" cm="1">
        <f t="array" ref="J16">IF($C16="","",IF(INDEX(PlayerGender,SUMPRODUCT((PlayerPlayerNo=(ROUNDUP((ROW()-3.5)/4,0)+((VALUE(RIGHT($A$1,1))-1)*4)))*ROW(PlayerGender))-1)="M",INDEX(HoleHandicapM,J$2,0),INDEX(HoleHandicapF,J$2,0)))</f>
        <v>13</v>
      </c>
      <c r="K16" s="5" cm="1">
        <f t="array" ref="K16">IF($C16="","",IF(INDEX(PlayerGender,SUMPRODUCT((PlayerPlayerNo=(ROUNDUP((ROW()-3.5)/4,0)+((VALUE(RIGHT($A$1,1))-1)*4)))*ROW(PlayerGender))-1)="M",INDEX(HoleHandicapM,K$2,0),INDEX(HoleHandicapF,K$2,0)))</f>
        <v>1</v>
      </c>
      <c r="L16" s="5" cm="1">
        <f t="array" ref="L16">IF($C16="","",IF(INDEX(PlayerGender,SUMPRODUCT((PlayerPlayerNo=(ROUNDUP((ROW()-3.5)/4,0)+((VALUE(RIGHT($A$1,1))-1)*4)))*ROW(PlayerGender))-1)="M",INDEX(HoleHandicapM,L$2,0),INDEX(HoleHandicapF,L$2,0)))</f>
        <v>15</v>
      </c>
      <c r="M16" s="5" cm="1">
        <f t="array" ref="M16">IF($C16="","",IF(INDEX(PlayerGender,SUMPRODUCT((PlayerPlayerNo=(ROUNDUP((ROW()-3.5)/4,0)+((VALUE(RIGHT($A$1,1))-1)*4)))*ROW(PlayerGender))-1)="M",INDEX(HoleHandicapM,M$2,0),INDEX(HoleHandicapF,M$2,0)))</f>
        <v>11</v>
      </c>
      <c r="N16" s="5" cm="1">
        <f t="array" ref="N16">IF($C16="","",IF(INDEX(PlayerGender,SUMPRODUCT((PlayerPlayerNo=(ROUNDUP((ROW()-3.5)/4,0)+((VALUE(RIGHT($A$1,1))-1)*4)))*ROW(PlayerGender))-1)="M",INDEX(HoleHandicapM,N$2,0),INDEX(HoleHandicapF,N$2,0)))</f>
        <v>5</v>
      </c>
      <c r="P16" s="5" cm="1">
        <f t="array" ref="P16">IF($C16="","",IF(INDEX(PlayerGender,SUMPRODUCT((PlayerPlayerNo=(ROUNDUP((ROW()-3.5)/4,0)+((VALUE(RIGHT($A$1,1))-1)*4)))*ROW(PlayerGender))-1)="M",INDEX(HoleHandicapM,P$2,0),INDEX(HoleHandicapF,P$2,0)))</f>
        <v>10</v>
      </c>
      <c r="Q16" s="5" cm="1">
        <f t="array" ref="Q16">IF($C16="","",IF(INDEX(PlayerGender,SUMPRODUCT((PlayerPlayerNo=(ROUNDUP((ROW()-3.5)/4,0)+((VALUE(RIGHT($A$1,1))-1)*4)))*ROW(PlayerGender))-1)="M",INDEX(HoleHandicapM,Q$2,0),INDEX(HoleHandicapF,Q$2,0)))</f>
        <v>4</v>
      </c>
      <c r="R16" s="5" cm="1">
        <f t="array" ref="R16">IF($C16="","",IF(INDEX(PlayerGender,SUMPRODUCT((PlayerPlayerNo=(ROUNDUP((ROW()-3.5)/4,0)+((VALUE(RIGHT($A$1,1))-1)*4)))*ROW(PlayerGender))-1)="M",INDEX(HoleHandicapM,R$2,0),INDEX(HoleHandicapF,R$2,0)))</f>
        <v>8</v>
      </c>
      <c r="S16" s="5" cm="1">
        <f t="array" ref="S16">IF($C16="","",IF(INDEX(PlayerGender,SUMPRODUCT((PlayerPlayerNo=(ROUNDUP((ROW()-3.5)/4,0)+((VALUE(RIGHT($A$1,1))-1)*4)))*ROW(PlayerGender))-1)="M",INDEX(HoleHandicapM,S$2,0),INDEX(HoleHandicapF,S$2,0)))</f>
        <v>16</v>
      </c>
      <c r="T16" s="5" cm="1">
        <f t="array" ref="T16">IF($C16="","",IF(INDEX(PlayerGender,SUMPRODUCT((PlayerPlayerNo=(ROUNDUP((ROW()-3.5)/4,0)+((VALUE(RIGHT($A$1,1))-1)*4)))*ROW(PlayerGender))-1)="M",INDEX(HoleHandicapM,T$2,0),INDEX(HoleHandicapF,T$2,0)))</f>
        <v>18</v>
      </c>
      <c r="U16" s="5" cm="1">
        <f t="array" ref="U16">IF($C16="","",IF(INDEX(PlayerGender,SUMPRODUCT((PlayerPlayerNo=(ROUNDUP((ROW()-3.5)/4,0)+((VALUE(RIGHT($A$1,1))-1)*4)))*ROW(PlayerGender))-1)="M",INDEX(HoleHandicapM,U$2,0),INDEX(HoleHandicapF,U$2,0)))</f>
        <v>2</v>
      </c>
      <c r="V16" s="5" cm="1">
        <f t="array" ref="V16">IF($C16="","",IF(INDEX(PlayerGender,SUMPRODUCT((PlayerPlayerNo=(ROUNDUP((ROW()-3.5)/4,0)+((VALUE(RIGHT($A$1,1))-1)*4)))*ROW(PlayerGender))-1)="M",INDEX(HoleHandicapM,V$2,0),INDEX(HoleHandicapF,V$2,0)))</f>
        <v>14</v>
      </c>
      <c r="W16" s="5" cm="1">
        <f t="array" ref="W16">IF($C16="","",IF(INDEX(PlayerGender,SUMPRODUCT((PlayerPlayerNo=(ROUNDUP((ROW()-3.5)/4,0)+((VALUE(RIGHT($A$1,1))-1)*4)))*ROW(PlayerGender))-1)="M",INDEX(HoleHandicapM,W$2,0),INDEX(HoleHandicapF,W$2,0)))</f>
        <v>12</v>
      </c>
      <c r="X16" s="5" cm="1">
        <f t="array" ref="X16">IF($C16="","",IF(INDEX(PlayerGender,SUMPRODUCT((PlayerPlayerNo=(ROUNDUP((ROW()-3.5)/4,0)+((VALUE(RIGHT($A$1,1))-1)*4)))*ROW(PlayerGender))-1)="M",INDEX(HoleHandicapM,X$2,0),INDEX(HoleHandicapF,X$2,0)))</f>
        <v>6</v>
      </c>
      <c r="Y16" s="5"/>
      <c r="Z16" s="4"/>
      <c r="AC16" s="2"/>
    </row>
    <row r="17" spans="1:29" x14ac:dyDescent="0.2">
      <c r="A17" s="4" t="str" cm="1">
        <f t="array" ref="A17">_xlfn.CONCAT(INDEX(PlayerNames,SUMPRODUCT((PlayerPlayerNo=(ROUNDUP((ROW()-3.5)/4,0)+((VALUE(RIGHT($A$1,1))-1)*4)))*ROW(PlayerNames))-1)," Gross")</f>
        <v>Chris Lundhagen Gross</v>
      </c>
      <c r="B17" s="4"/>
      <c r="C17" s="4"/>
      <c r="D17" s="4"/>
      <c r="E17" s="4"/>
      <c r="F17" s="4">
        <v>4</v>
      </c>
      <c r="G17" s="4">
        <v>6</v>
      </c>
      <c r="H17" s="4">
        <v>5</v>
      </c>
      <c r="I17" s="4">
        <v>5</v>
      </c>
      <c r="J17" s="4">
        <v>3</v>
      </c>
      <c r="K17" s="4">
        <v>7</v>
      </c>
      <c r="L17" s="4">
        <v>5</v>
      </c>
      <c r="M17" s="4">
        <v>6</v>
      </c>
      <c r="N17" s="4">
        <v>9</v>
      </c>
      <c r="O17" s="8">
        <f t="shared" ref="O17:O19" si="24">IF(OR(ISBLANK(F17),F17=""),"",SUM(F17:N17))</f>
        <v>50</v>
      </c>
      <c r="P17" s="4">
        <v>7</v>
      </c>
      <c r="Q17" s="4">
        <v>6</v>
      </c>
      <c r="R17" s="4">
        <v>8</v>
      </c>
      <c r="S17" s="4">
        <v>5</v>
      </c>
      <c r="T17" s="4">
        <v>5</v>
      </c>
      <c r="U17" s="4">
        <v>6</v>
      </c>
      <c r="V17" s="4">
        <v>7</v>
      </c>
      <c r="W17" s="4">
        <v>6</v>
      </c>
      <c r="X17" s="4">
        <v>7</v>
      </c>
      <c r="Y17" s="8">
        <f>IF(SUM(P17:X17)&gt;0,SUM(P17:X17),"")</f>
        <v>57</v>
      </c>
      <c r="Z17" s="8">
        <f>IF((SUM(F17:N17)+SUM(P17:X17))&gt;0,SUM(F17:N17)+SUM(P17:X17),"")</f>
        <v>107</v>
      </c>
      <c r="AC17" s="2"/>
    </row>
    <row r="18" spans="1:29" x14ac:dyDescent="0.2">
      <c r="A18" s="4" t="str" cm="1">
        <f t="array" ref="A18">_xlfn.CONCAT(INDEX(PlayerNames,SUMPRODUCT((PlayerPlayerNo=((ROUNDUP((ROW()-3.5)/4,0))+((VALUE(RIGHT($A$1,1))-1)*4)))*ROW(PlayerNames))-1)," Handicap Strokes")</f>
        <v>Chris Lundhagen Handicap Strokes</v>
      </c>
      <c r="B18" s="4"/>
      <c r="C18" s="4"/>
      <c r="D18" s="4"/>
      <c r="E18" s="4"/>
      <c r="F18" s="8">
        <f>ROUNDDOWN($E16/18,0)+IF(MOD($E16,18)&gt;=F16,1,0)</f>
        <v>1</v>
      </c>
      <c r="G18" s="8">
        <f t="shared" ref="G18:N18" si="25">ROUNDDOWN($E16/18,0)+IF(MOD($E16,18)&gt;=G16,1,0)</f>
        <v>2</v>
      </c>
      <c r="H18" s="8">
        <f t="shared" si="25"/>
        <v>2</v>
      </c>
      <c r="I18" s="8">
        <f t="shared" si="25"/>
        <v>1</v>
      </c>
      <c r="J18" s="8">
        <f t="shared" si="25"/>
        <v>1</v>
      </c>
      <c r="K18" s="8">
        <f t="shared" si="25"/>
        <v>2</v>
      </c>
      <c r="L18" s="8">
        <f t="shared" si="25"/>
        <v>1</v>
      </c>
      <c r="M18" s="8">
        <f t="shared" si="25"/>
        <v>1</v>
      </c>
      <c r="N18" s="8">
        <f t="shared" si="25"/>
        <v>2</v>
      </c>
      <c r="O18" s="8">
        <f t="shared" si="24"/>
        <v>13</v>
      </c>
      <c r="P18" s="8">
        <f t="shared" ref="P18:X18" si="26">ROUNDDOWN($E16/18,0)+IF(MOD($E16,18)&gt;=P16,1,0)</f>
        <v>1</v>
      </c>
      <c r="Q18" s="8">
        <f t="shared" si="26"/>
        <v>2</v>
      </c>
      <c r="R18" s="8">
        <f t="shared" si="26"/>
        <v>1</v>
      </c>
      <c r="S18" s="8">
        <f t="shared" si="26"/>
        <v>1</v>
      </c>
      <c r="T18" s="8">
        <f t="shared" si="26"/>
        <v>1</v>
      </c>
      <c r="U18" s="8">
        <f t="shared" si="26"/>
        <v>2</v>
      </c>
      <c r="V18" s="8">
        <f t="shared" si="26"/>
        <v>1</v>
      </c>
      <c r="W18" s="8">
        <f t="shared" si="26"/>
        <v>1</v>
      </c>
      <c r="X18" s="8">
        <f t="shared" si="26"/>
        <v>2</v>
      </c>
      <c r="Y18" s="8">
        <f t="shared" ref="Y18:Y19" si="27">IF(OR(ISBLANK(P18),P18=""),"",SUM(P18:X18))</f>
        <v>12</v>
      </c>
      <c r="Z18" s="8">
        <f t="shared" ref="Z18:Z19" si="28">IF(OR(ISBLANK(F18),F18=""),"",SUM(F18:N18)+SUM(P18:X18))</f>
        <v>25</v>
      </c>
      <c r="AC18" s="2"/>
    </row>
    <row r="19" spans="1:29" x14ac:dyDescent="0.2">
      <c r="A19" s="4" t="str" cm="1">
        <f t="array" ref="A19">_xlfn.CONCAT(INDEX(PlayerNames,SUMPRODUCT((PlayerPlayerNo=((ROUNDUP((ROW()-3.5)/4,0))+((VALUE(RIGHT($A$1,1))-1)*4)))*ROW(PlayerNames))-1)," Net")</f>
        <v>Chris Lundhagen Net</v>
      </c>
      <c r="B19" s="4"/>
      <c r="C19" s="4"/>
      <c r="D19" s="4"/>
      <c r="E19" s="4"/>
      <c r="F19" s="8">
        <f t="shared" ref="F19:N19" si="29">IF(F17-F18&gt;0,F17-F18,"")</f>
        <v>3</v>
      </c>
      <c r="G19" s="8">
        <f t="shared" si="29"/>
        <v>4</v>
      </c>
      <c r="H19" s="8">
        <f t="shared" si="29"/>
        <v>3</v>
      </c>
      <c r="I19" s="8">
        <f t="shared" si="29"/>
        <v>4</v>
      </c>
      <c r="J19" s="8">
        <f t="shared" si="29"/>
        <v>2</v>
      </c>
      <c r="K19" s="8">
        <f t="shared" si="29"/>
        <v>5</v>
      </c>
      <c r="L19" s="8">
        <f t="shared" si="29"/>
        <v>4</v>
      </c>
      <c r="M19" s="8">
        <f t="shared" si="29"/>
        <v>5</v>
      </c>
      <c r="N19" s="8">
        <f t="shared" si="29"/>
        <v>7</v>
      </c>
      <c r="O19" s="8">
        <f t="shared" si="24"/>
        <v>37</v>
      </c>
      <c r="P19" s="8">
        <f t="shared" ref="P19:X19" si="30">IF(P17-P18&gt;0,P17-P18,"")</f>
        <v>6</v>
      </c>
      <c r="Q19" s="8">
        <f t="shared" si="30"/>
        <v>4</v>
      </c>
      <c r="R19" s="8">
        <f t="shared" si="30"/>
        <v>7</v>
      </c>
      <c r="S19" s="8">
        <f t="shared" si="30"/>
        <v>4</v>
      </c>
      <c r="T19" s="8">
        <f t="shared" si="30"/>
        <v>4</v>
      </c>
      <c r="U19" s="8">
        <f t="shared" si="30"/>
        <v>4</v>
      </c>
      <c r="V19" s="8">
        <f t="shared" si="30"/>
        <v>6</v>
      </c>
      <c r="W19" s="8">
        <f t="shared" si="30"/>
        <v>5</v>
      </c>
      <c r="X19" s="8">
        <f t="shared" si="30"/>
        <v>5</v>
      </c>
      <c r="Y19" s="8">
        <f t="shared" si="27"/>
        <v>45</v>
      </c>
      <c r="Z19" s="8">
        <f t="shared" si="28"/>
        <v>82</v>
      </c>
      <c r="AC19" s="2"/>
    </row>
    <row r="20" spans="1:29" x14ac:dyDescent="0.2">
      <c r="A20" t="s">
        <v>54</v>
      </c>
      <c r="F20" cm="1">
        <f t="array" ref="F20">IFERROR(_xlfn.LET(_xlpm.x,_xlfn._xlws.FILTER($A$4:$Z$19,RIGHT($A$4:$A$19,4)=" Net"),_xlpm.y,INDEX(_xlpm.x,,COLUMN()),SMALL(_xlpm.y,1)+SMALL(_xlpm.y,2)+SMALL(_xlpm.y,3)),"")</f>
        <v>11</v>
      </c>
      <c r="I20" cm="1">
        <f t="array" ref="I20">IFERROR(_xlfn.LET(_xlpm.x,_xlfn._xlws.FILTER($A$4:$Z$19,RIGHT($A$4:$A$19,4)=" Net"),_xlpm.y,INDEX(_xlpm.x,,COLUMN()),SMALL(_xlpm.y,1)+SMALL(_xlpm.y,2)+SMALL(_xlpm.y,3)),"")</f>
        <v>11</v>
      </c>
      <c r="L20" cm="1">
        <f t="array" ref="L20">IFERROR(_xlfn.LET(_xlpm.x,_xlfn._xlws.FILTER($A$4:$Z$19,RIGHT($A$4:$A$19,4)=" Net"),_xlpm.y,INDEX(_xlpm.x,,COLUMN()),SMALL(_xlpm.y,1)+SMALL(_xlpm.y,2)+SMALL(_xlpm.y,3)),"")</f>
        <v>15</v>
      </c>
      <c r="P20" cm="1">
        <f t="array" ref="P20">IFERROR(_xlfn.LET(_xlpm.x,_xlfn._xlws.FILTER($A$4:$Z$19,RIGHT($A$4:$A$19,4)=" Net"),_xlpm.y,INDEX(_xlpm.x,,COLUMN()),SMALL(_xlpm.y,1)+SMALL(_xlpm.y,2)+SMALL(_xlpm.y,3)),"")</f>
        <v>17</v>
      </c>
      <c r="S20" cm="1">
        <f t="array" ref="S20">IFERROR(_xlfn.LET(_xlpm.x,_xlfn._xlws.FILTER($A$4:$Z$19,RIGHT($A$4:$A$19,4)=" Net"),_xlpm.y,INDEX(_xlpm.x,,COLUMN()),SMALL(_xlpm.y,1)+SMALL(_xlpm.y,2)+SMALL(_xlpm.y,3)),"")</f>
        <v>7</v>
      </c>
      <c r="V20" cm="1">
        <f t="array" ref="V20">IFERROR(_xlfn.LET(_xlpm.x,_xlfn._xlws.FILTER($A$4:$Z$19,RIGHT($A$4:$A$19,4)=" Net"),_xlpm.y,INDEX(_xlpm.x,,COLUMN()),SMALL(_xlpm.y,1)+SMALL(_xlpm.y,2)+SMALL(_xlpm.y,3)),"")</f>
        <v>14</v>
      </c>
      <c r="AC20" s="2"/>
    </row>
    <row r="21" spans="1:29" x14ac:dyDescent="0.2">
      <c r="A21" t="s">
        <v>55</v>
      </c>
      <c r="G21" cm="1">
        <f t="array" ref="G21">IFERROR(_xlfn.LET(_xlpm.x,_xlfn._xlws.FILTER($A$4:$Z$19,RIGHT($A$4:$A$19,4)=" Net"),_xlpm.y,INDEX(_xlpm.x,,COLUMN()),SMALL(_xlpm.y,1)+SMALL(_xlpm.y,2)),"")</f>
        <v>8</v>
      </c>
      <c r="J21" cm="1">
        <f t="array" ref="J21">IFERROR(_xlfn.LET(_xlpm.x,_xlfn._xlws.FILTER($A$4:$Z$19,RIGHT($A$4:$A$19,4)=" Net"),_xlpm.y,INDEX(_xlpm.x,,COLUMN()),SMALL(_xlpm.y,1)+SMALL(_xlpm.y,2)),"")</f>
        <v>4</v>
      </c>
      <c r="M21" cm="1">
        <f t="array" ref="M21">IFERROR(_xlfn.LET(_xlpm.x,_xlfn._xlws.FILTER($A$4:$Z$19,RIGHT($A$4:$A$19,4)=" Net"),_xlpm.y,INDEX(_xlpm.x,,COLUMN()),SMALL(_xlpm.y,1)+SMALL(_xlpm.y,2)),"")</f>
        <v>5</v>
      </c>
      <c r="Q21" cm="1">
        <f t="array" ref="Q21">IFERROR(_xlfn.LET(_xlpm.x,_xlfn._xlws.FILTER($A$4:$Z$19,RIGHT($A$4:$A$19,4)=" Net"),_xlpm.y,INDEX(_xlpm.x,,COLUMN()),SMALL(_xlpm.y,1)+SMALL(_xlpm.y,2)),"")</f>
        <v>7</v>
      </c>
      <c r="T21" cm="1">
        <f t="array" ref="T21">IFERROR(_xlfn.LET(_xlpm.x,_xlfn._xlws.FILTER($A$4:$Z$19,RIGHT($A$4:$A$19,4)=" Net"),_xlpm.y,INDEX(_xlpm.x,,COLUMN()),SMALL(_xlpm.y,1)+SMALL(_xlpm.y,2)),"")</f>
        <v>8</v>
      </c>
      <c r="W21" cm="1">
        <f t="array" ref="W21">IFERROR(_xlfn.LET(_xlpm.x,_xlfn._xlws.FILTER($A$4:$Z$19,RIGHT($A$4:$A$19,4)=" Net"),_xlpm.y,INDEX(_xlpm.x,,COLUMN()),SMALL(_xlpm.y,1)+SMALL(_xlpm.y,2)),"")</f>
        <v>5</v>
      </c>
      <c r="AC21" s="2"/>
    </row>
    <row r="22" spans="1:29" x14ac:dyDescent="0.2">
      <c r="A22" t="s">
        <v>53</v>
      </c>
      <c r="H22" s="9" cm="1">
        <f t="array" ref="H22">IFERROR(_xlfn.LET(_xlpm.x,_xlfn._xlws.FILTER($A$4:$Z$19,RIGHT('Scoresheet Team 1'!$A$4:$A$19,4)=" Net"),_xlpm.y,INDEX(_xlpm.x,,COLUMN()),SMALL(_xlpm.y,1)),"")</f>
        <v>3</v>
      </c>
      <c r="K22" s="9" cm="1">
        <f t="array" ref="K22">IFERROR(_xlfn.LET(_xlpm.x,_xlfn._xlws.FILTER($A$4:$Z$19,RIGHT('Scoresheet Team 1'!$A$4:$A$19,4)=" Net"),_xlpm.y,INDEX(_xlpm.x,,COLUMN()),SMALL(_xlpm.y,1)),"")</f>
        <v>3</v>
      </c>
      <c r="N22" s="9" cm="1">
        <f t="array" ref="N22">IFERROR(_xlfn.LET(_xlpm.x,_xlfn._xlws.FILTER($A$4:$Z$19,RIGHT('Scoresheet Team 1'!$A$4:$A$19,4)=" Net"),_xlpm.y,INDEX(_xlpm.x,,COLUMN()),SMALL(_xlpm.y,1)),"")</f>
        <v>3</v>
      </c>
      <c r="R22" s="9" cm="1">
        <f t="array" ref="R22">IFERROR(_xlfn.LET(_xlpm.x,_xlfn._xlws.FILTER($A$4:$Z$19,RIGHT('Scoresheet Team 1'!$A$4:$A$19,4)=" Net"),_xlpm.y,INDEX(_xlpm.x,,COLUMN()),SMALL(_xlpm.y,1)),"")</f>
        <v>4</v>
      </c>
      <c r="U22" s="9" cm="1">
        <f t="array" ref="U22">IFERROR(_xlfn.LET(_xlpm.x,_xlfn._xlws.FILTER($A$4:$Z$19,RIGHT('Scoresheet Team 1'!$A$4:$A$19,4)=" Net"),_xlpm.y,INDEX(_xlpm.x,,COLUMN()),SMALL(_xlpm.y,1)),"")</f>
        <v>4</v>
      </c>
      <c r="X22" s="9" cm="1">
        <f t="array" ref="X22">IFERROR(_xlfn.LET(_xlpm.x,_xlfn._xlws.FILTER($A$4:$Z$19,RIGHT('Scoresheet Team 1'!$A$4:$A$19,4)=" Net"),_xlpm.y,INDEX(_xlpm.x,,COLUMN()),SMALL(_xlpm.y,1)),"")</f>
        <v>4</v>
      </c>
      <c r="AC22" s="2"/>
    </row>
    <row r="23" spans="1:29" x14ac:dyDescent="0.2">
      <c r="A23" t="str">
        <f>_xlfn.CONCAT("Team '", A2, "' Total")</f>
        <v>Team 'Team ACOSA' Total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Z23" s="9">
        <f>_xlfn.LET(_xlpm.x,SUM(F20:X22),IF(_xlpm.x&gt;0,_xlpm.x,""))</f>
        <v>133</v>
      </c>
    </row>
  </sheetData>
  <conditionalFormatting sqref="A8:A19 B8:N8 B12:N12 B16:N16 B17:Z19 B13:Z15 B9:Z11 A4:Z7">
    <cfRule type="expression" dxfId="31" priority="18">
      <formula>MOD(ROUNDUP((ROW()-3.5)/4,0),2)=0</formula>
    </cfRule>
  </conditionalFormatting>
  <conditionalFormatting sqref="O8 Y8:Z8">
    <cfRule type="expression" dxfId="30" priority="17">
      <formula>MOD(ROUNDUP((ROW()-3.5)/4,0),2)=0</formula>
    </cfRule>
  </conditionalFormatting>
  <conditionalFormatting sqref="O12 Y12:Z12">
    <cfRule type="expression" dxfId="29" priority="16">
      <formula>MOD(ROUNDUP((ROW()-3.5)/4,0),2)=0</formula>
    </cfRule>
  </conditionalFormatting>
  <conditionalFormatting sqref="O16 Y16:Z16">
    <cfRule type="expression" dxfId="28" priority="15">
      <formula>MOD(ROUNDUP((ROW()-3.5)/4,0),2)=0</formula>
    </cfRule>
  </conditionalFormatting>
  <conditionalFormatting sqref="P8:X8">
    <cfRule type="expression" dxfId="27" priority="4">
      <formula>MOD(ROUNDUP((ROW()-3.5)/4,0),2)=0</formula>
    </cfRule>
  </conditionalFormatting>
  <conditionalFormatting sqref="P12:X12">
    <cfRule type="expression" dxfId="26" priority="3">
      <formula>MOD(ROUNDUP((ROW()-3.5)/4,0),2)=0</formula>
    </cfRule>
  </conditionalFormatting>
  <conditionalFormatting sqref="P16:X16">
    <cfRule type="expression" dxfId="25" priority="2">
      <formula>MOD(ROUNDUP((ROW()-3.5)/4,0),2)=0</formula>
    </cfRule>
  </conditionalFormatting>
  <conditionalFormatting sqref="A20:X21">
    <cfRule type="expression" dxfId="24" priority="1">
      <formula>MOD(ROUNDUP((ROW()-3.5)/4,0),2)=0</formula>
    </cfRule>
  </conditionalFormatting>
  <pageMargins left="0.7" right="0.7" top="0.75" bottom="0.75" header="0.3" footer="0.3"/>
  <pageSetup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6B371-684B-4EB0-8CDB-14B0A8C9D8C0}">
  <dimension ref="A1:Z23"/>
  <sheetViews>
    <sheetView topLeftCell="Q13" workbookViewId="0">
      <selection activeCell="X20" sqref="X20"/>
    </sheetView>
  </sheetViews>
  <sheetFormatPr defaultRowHeight="15" x14ac:dyDescent="0.2"/>
  <cols>
    <col min="1" max="1" width="16.94921875" customWidth="1"/>
    <col min="2" max="2" width="11.703125" bestFit="1" customWidth="1"/>
    <col min="3" max="3" width="6.05078125" bestFit="1" customWidth="1"/>
    <col min="4" max="4" width="7.3984375" bestFit="1" customWidth="1"/>
    <col min="5" max="5" width="9.953125" customWidth="1"/>
    <col min="6" max="14" width="3.765625" customWidth="1"/>
    <col min="15" max="15" width="5.6484375" bestFit="1" customWidth="1"/>
    <col min="16" max="24" width="3.765625" customWidth="1"/>
    <col min="25" max="25" width="5.6484375" customWidth="1"/>
    <col min="26" max="26" width="6.1875" customWidth="1"/>
  </cols>
  <sheetData>
    <row r="1" spans="1:26" x14ac:dyDescent="0.2">
      <c r="A1" s="4" t="s">
        <v>56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P1" s="4"/>
      <c r="Q1" s="4"/>
      <c r="R1" s="4"/>
      <c r="S1" s="4"/>
      <c r="T1" s="4"/>
      <c r="U1" s="4"/>
      <c r="V1" s="4"/>
    </row>
    <row r="2" spans="1:26" x14ac:dyDescent="0.2">
      <c r="A2" s="4" t="s">
        <v>59</v>
      </c>
      <c r="B2" s="4"/>
      <c r="C2" s="4"/>
      <c r="D2" s="4"/>
      <c r="E2" s="4"/>
      <c r="F2" s="6">
        <v>1</v>
      </c>
      <c r="G2" s="6">
        <v>2</v>
      </c>
      <c r="H2" s="6">
        <v>3</v>
      </c>
      <c r="I2" s="6">
        <v>4</v>
      </c>
      <c r="J2" s="6">
        <v>5</v>
      </c>
      <c r="K2" s="6">
        <v>6</v>
      </c>
      <c r="L2" s="6">
        <v>7</v>
      </c>
      <c r="M2" s="6">
        <v>8</v>
      </c>
      <c r="N2" s="6">
        <v>9</v>
      </c>
      <c r="O2" s="5" t="s">
        <v>47</v>
      </c>
      <c r="P2" s="6">
        <v>10</v>
      </c>
      <c r="Q2" s="6">
        <v>11</v>
      </c>
      <c r="R2" s="6">
        <v>12</v>
      </c>
      <c r="S2" s="6">
        <v>13</v>
      </c>
      <c r="T2" s="6">
        <v>14</v>
      </c>
      <c r="U2" s="6">
        <v>15</v>
      </c>
      <c r="V2" s="6">
        <v>16</v>
      </c>
      <c r="W2" s="6">
        <v>17</v>
      </c>
      <c r="X2" s="6">
        <v>18</v>
      </c>
      <c r="Y2" t="s">
        <v>48</v>
      </c>
      <c r="Z2" t="s">
        <v>28</v>
      </c>
    </row>
    <row r="3" spans="1:26" ht="30" x14ac:dyDescent="0.2">
      <c r="A3" s="4"/>
      <c r="B3" s="4" t="s">
        <v>8</v>
      </c>
      <c r="C3" s="4" t="s">
        <v>49</v>
      </c>
      <c r="D3" s="7" t="s">
        <v>51</v>
      </c>
      <c r="E3" s="4" t="s">
        <v>50</v>
      </c>
      <c r="F3" s="5" cm="1">
        <f t="array" ref="F3">INDEX(HoleParM,F2,0)</f>
        <v>4</v>
      </c>
      <c r="G3" s="5" cm="1">
        <f t="array" ref="G3">INDEX(HoleParM,G2,0)</f>
        <v>5</v>
      </c>
      <c r="H3" s="5" cm="1">
        <f t="array" ref="H3">INDEX(HoleParM,H2,0)</f>
        <v>4</v>
      </c>
      <c r="I3" s="5" cm="1">
        <f t="array" ref="I3">INDEX(HoleParM,I2,0)</f>
        <v>4</v>
      </c>
      <c r="J3" s="5" cm="1">
        <f t="array" ref="J3">INDEX(HoleParM,J2,0)</f>
        <v>3</v>
      </c>
      <c r="K3" s="5" cm="1">
        <f t="array" ref="K3">INDEX(HoleParM,K2,0)</f>
        <v>4</v>
      </c>
      <c r="L3" s="5" cm="1">
        <f t="array" ref="L3">INDEX(HoleParM,L2,0)</f>
        <v>4</v>
      </c>
      <c r="M3" s="5" cm="1">
        <f t="array" ref="M3">INDEX(HoleParM,M2,0)</f>
        <v>3</v>
      </c>
      <c r="N3" s="5" cm="1">
        <f t="array" ref="N3">INDEX(HoleParM,N2,0)</f>
        <v>5</v>
      </c>
      <c r="O3" s="8">
        <f>IF(SUM(F3:N3)&gt;0,SUM(F3:N3),"")</f>
        <v>36</v>
      </c>
      <c r="P3" s="5" cm="1">
        <f t="array" ref="P3">INDEX(HoleParM,P2,0)</f>
        <v>4</v>
      </c>
      <c r="Q3" s="5" cm="1">
        <f t="array" ref="Q3">INDEX(HoleParM,Q2,0)</f>
        <v>4</v>
      </c>
      <c r="R3" s="5" cm="1">
        <f t="array" ref="R3">INDEX(HoleParM,R2,0)</f>
        <v>5</v>
      </c>
      <c r="S3" s="5" cm="1">
        <f t="array" ref="S3">INDEX(HoleParM,S2,0)</f>
        <v>3</v>
      </c>
      <c r="T3" s="5" cm="1">
        <f t="array" ref="T3">INDEX(HoleParM,T2,0)</f>
        <v>4</v>
      </c>
      <c r="U3" s="5" cm="1">
        <f t="array" ref="U3">INDEX(HoleParM,U2,0)</f>
        <v>4</v>
      </c>
      <c r="V3" s="5" cm="1">
        <f t="array" ref="V3">INDEX(HoleParM,V2,0)</f>
        <v>4</v>
      </c>
      <c r="W3" s="5" cm="1">
        <f t="array" ref="W3">INDEX(HoleParM,W2,0)</f>
        <v>3</v>
      </c>
      <c r="X3" s="5" cm="1">
        <f t="array" ref="X3">INDEX(HoleParM,X2,0)</f>
        <v>5</v>
      </c>
      <c r="Y3" s="8">
        <f>IF(SUM(P3:X3)&gt;0,SUM(P3:X3),"")</f>
        <v>36</v>
      </c>
      <c r="Z3" s="8">
        <f>IF((SUM(F3:N3)+SUM(P3:X3))&gt;0,SUM(F3:N3)+SUM(P3:X3),"")</f>
        <v>72</v>
      </c>
    </row>
    <row r="4" spans="1:26" x14ac:dyDescent="0.2">
      <c r="A4" s="4" t="str" cm="1">
        <f t="array" ref="A4">INDEX(PlayerNames,SUMPRODUCT((PlayerPlayerNo=(ROUNDUP((ROW()-3.5)/4,0)+((VALUE(RIGHT($A$1,1))-1)*4)))*ROW(PlayerNames))-1)</f>
        <v>Todd Hubbard</v>
      </c>
      <c r="B4" s="4" t="str" cm="1">
        <f t="array" ref="B4">INDEX(PlayerTees,SUMPRODUCT((PlayerPlayerNo=((ROUNDUP((ROW()-3.5)/4,0))+((VALUE(RIGHT($A$1,1))-1)*4)))*ROW(PlayerNames))-1)</f>
        <v>Gold/Green</v>
      </c>
      <c r="C4" s="4" cm="1">
        <f t="array" ref="C4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30</v>
      </c>
      <c r="D4" s="4" cm="1">
        <f t="array" ref="D4">IF(C4="","",IF(C4=0,0,IF(INDEX(PlayerGender,SUMPRODUCT((PlayerPlayerNo=(ROUNDUP((ROW()-3.5)/4,0)+((VALUE(RIGHT($A$1,1))-1)*4)))*ROW(PlayerGender))-1)="M",ROUND((C4*(HLOOKUP(B4,MensTees,2,FALSE)/113))+(HLOOKUP(B4,MensTees,3,FALSE)-HLOOKUP(B4,MensTees,4,FALSE)),0),ROUND((C4*(HLOOKUP(B4,WomensTees,2,FALSE)/113))+(HLOOKUP(B4,WomensTees,3,FALSE)-HLOOKUP(B4,WomensTees,4,FALSE)),0))))</f>
        <v>27</v>
      </c>
      <c r="E4" s="4">
        <f>IF(A5 = "Solo",D4,ROUND(D4*HandicapAllowance,0))</f>
        <v>24</v>
      </c>
      <c r="F4" s="5" cm="1">
        <f t="array" ref="F4">IF($C4="","",IF(INDEX(PlayerGender,SUMPRODUCT((PlayerPlayerNo=(ROUNDUP((ROW()-3.5)/4,0)+((VALUE(RIGHT($A$1,1))-1)*4)))*ROW(PlayerGender))-1)="M",INDEX(HoleHandicapM,F$2,0),INDEX(HoleHandicapF,F$2,0)))</f>
        <v>9</v>
      </c>
      <c r="G4" s="5" cm="1">
        <f t="array" ref="G4">IF($C4="","",IF(INDEX(PlayerGender,SUMPRODUCT((PlayerPlayerNo=(ROUNDUP((ROW()-3.5)/4,0)+((VALUE(RIGHT($A$1,1))-1)*4)))*ROW(PlayerGender))-1)="M",INDEX(HoleHandicapM,G$2,0),INDEX(HoleHandicapF,G$2,0)))</f>
        <v>3</v>
      </c>
      <c r="H4" s="5" cm="1">
        <f t="array" ref="H4">IF($C4="","",IF(INDEX(PlayerGender,SUMPRODUCT((PlayerPlayerNo=(ROUNDUP((ROW()-3.5)/4,0)+((VALUE(RIGHT($A$1,1))-1)*4)))*ROW(PlayerGender))-1)="M",INDEX(HoleHandicapM,H$2,0),INDEX(HoleHandicapF,H$2,0)))</f>
        <v>7</v>
      </c>
      <c r="I4" s="5" cm="1">
        <f t="array" ref="I4">IF($C4="","",IF(INDEX(PlayerGender,SUMPRODUCT((PlayerPlayerNo=(ROUNDUP((ROW()-3.5)/4,0)+((VALUE(RIGHT($A$1,1))-1)*4)))*ROW(PlayerGender))-1)="M",INDEX(HoleHandicapM,I$2,0),INDEX(HoleHandicapF,I$2,0)))</f>
        <v>17</v>
      </c>
      <c r="J4" s="5" cm="1">
        <f t="array" ref="J4">IF($C4="","",IF(INDEX(PlayerGender,SUMPRODUCT((PlayerPlayerNo=(ROUNDUP((ROW()-3.5)/4,0)+((VALUE(RIGHT($A$1,1))-1)*4)))*ROW(PlayerGender))-1)="M",INDEX(HoleHandicapM,J$2,0),INDEX(HoleHandicapF,J$2,0)))</f>
        <v>13</v>
      </c>
      <c r="K4" s="5" cm="1">
        <f t="array" ref="K4">IF($C4="","",IF(INDEX(PlayerGender,SUMPRODUCT((PlayerPlayerNo=(ROUNDUP((ROW()-3.5)/4,0)+((VALUE(RIGHT($A$1,1))-1)*4)))*ROW(PlayerGender))-1)="M",INDEX(HoleHandicapM,K$2,0),INDEX(HoleHandicapF,K$2,0)))</f>
        <v>1</v>
      </c>
      <c r="L4" s="5" cm="1">
        <f t="array" ref="L4">IF($C4="","",IF(INDEX(PlayerGender,SUMPRODUCT((PlayerPlayerNo=(ROUNDUP((ROW()-3.5)/4,0)+((VALUE(RIGHT($A$1,1))-1)*4)))*ROW(PlayerGender))-1)="M",INDEX(HoleHandicapM,L$2,0),INDEX(HoleHandicapF,L$2,0)))</f>
        <v>15</v>
      </c>
      <c r="M4" s="5" cm="1">
        <f t="array" ref="M4">IF($C4="","",IF(INDEX(PlayerGender,SUMPRODUCT((PlayerPlayerNo=(ROUNDUP((ROW()-3.5)/4,0)+((VALUE(RIGHT($A$1,1))-1)*4)))*ROW(PlayerGender))-1)="M",INDEX(HoleHandicapM,M$2,0),INDEX(HoleHandicapF,M$2,0)))</f>
        <v>11</v>
      </c>
      <c r="N4" s="5" cm="1">
        <f t="array" ref="N4">IF($C4="","",IF(INDEX(PlayerGender,SUMPRODUCT((PlayerPlayerNo=(ROUNDUP((ROW()-3.5)/4,0)+((VALUE(RIGHT($A$1,1))-1)*4)))*ROW(PlayerGender))-1)="M",INDEX(HoleHandicapM,N$2,0),INDEX(HoleHandicapF,N$2,0)))</f>
        <v>5</v>
      </c>
      <c r="O4" s="5"/>
      <c r="P4" s="5" cm="1">
        <f t="array" ref="P4">IF($C4="","",IF(INDEX(PlayerGender,SUMPRODUCT((PlayerPlayerNo=(ROUNDUP((ROW()-3.5)/4,0)+((VALUE(RIGHT($A$1,1))-1)*4)))*ROW(PlayerGender))-1)="M",INDEX(HoleHandicapM,P$2,0),INDEX(HoleHandicapF,P$2,0)))</f>
        <v>10</v>
      </c>
      <c r="Q4" s="5" cm="1">
        <f t="array" ref="Q4">IF($C4="","",IF(INDEX(PlayerGender,SUMPRODUCT((PlayerPlayerNo=(ROUNDUP((ROW()-3.5)/4,0)+((VALUE(RIGHT($A$1,1))-1)*4)))*ROW(PlayerGender))-1)="M",INDEX(HoleHandicapM,Q$2,0),INDEX(HoleHandicapF,Q$2,0)))</f>
        <v>4</v>
      </c>
      <c r="R4" s="5" cm="1">
        <f t="array" ref="R4">IF($C4="","",IF(INDEX(PlayerGender,SUMPRODUCT((PlayerPlayerNo=(ROUNDUP((ROW()-3.5)/4,0)+((VALUE(RIGHT($A$1,1))-1)*4)))*ROW(PlayerGender))-1)="M",INDEX(HoleHandicapM,R$2,0),INDEX(HoleHandicapF,R$2,0)))</f>
        <v>8</v>
      </c>
      <c r="S4" s="5" cm="1">
        <f t="array" ref="S4">IF($C4="","",IF(INDEX(PlayerGender,SUMPRODUCT((PlayerPlayerNo=(ROUNDUP((ROW()-3.5)/4,0)+((VALUE(RIGHT($A$1,1))-1)*4)))*ROW(PlayerGender))-1)="M",INDEX(HoleHandicapM,S$2,0),INDEX(HoleHandicapF,S$2,0)))</f>
        <v>16</v>
      </c>
      <c r="T4" s="5" cm="1">
        <f t="array" ref="T4">IF($C4="","",IF(INDEX(PlayerGender,SUMPRODUCT((PlayerPlayerNo=(ROUNDUP((ROW()-3.5)/4,0)+((VALUE(RIGHT($A$1,1))-1)*4)))*ROW(PlayerGender))-1)="M",INDEX(HoleHandicapM,T$2,0),INDEX(HoleHandicapF,T$2,0)))</f>
        <v>18</v>
      </c>
      <c r="U4" s="5" cm="1">
        <f t="array" ref="U4">IF($C4="","",IF(INDEX(PlayerGender,SUMPRODUCT((PlayerPlayerNo=(ROUNDUP((ROW()-3.5)/4,0)+((VALUE(RIGHT($A$1,1))-1)*4)))*ROW(PlayerGender))-1)="M",INDEX(HoleHandicapM,U$2,0),INDEX(HoleHandicapF,U$2,0)))</f>
        <v>2</v>
      </c>
      <c r="V4" s="5" cm="1">
        <f t="array" ref="V4">IF($C4="","",IF(INDEX(PlayerGender,SUMPRODUCT((PlayerPlayerNo=(ROUNDUP((ROW()-3.5)/4,0)+((VALUE(RIGHT($A$1,1))-1)*4)))*ROW(PlayerGender))-1)="M",INDEX(HoleHandicapM,V$2,0),INDEX(HoleHandicapF,V$2,0)))</f>
        <v>14</v>
      </c>
      <c r="W4" s="5" cm="1">
        <f t="array" ref="W4">IF($C4="","",IF(INDEX(PlayerGender,SUMPRODUCT((PlayerPlayerNo=(ROUNDUP((ROW()-3.5)/4,0)+((VALUE(RIGHT($A$1,1))-1)*4)))*ROW(PlayerGender))-1)="M",INDEX(HoleHandicapM,W$2,0),INDEX(HoleHandicapF,W$2,0)))</f>
        <v>12</v>
      </c>
      <c r="X4" s="5" cm="1">
        <f t="array" ref="X4">IF($C4="","",IF(INDEX(PlayerGender,SUMPRODUCT((PlayerPlayerNo=(ROUNDUP((ROW()-3.5)/4,0)+((VALUE(RIGHT($A$1,1))-1)*4)))*ROW(PlayerGender))-1)="M",INDEX(HoleHandicapM,X$2,0),INDEX(HoleHandicapF,X$2,0)))</f>
        <v>6</v>
      </c>
      <c r="Y4" s="5"/>
      <c r="Z4" s="4"/>
    </row>
    <row r="5" spans="1:26" x14ac:dyDescent="0.2">
      <c r="A5" s="4" t="str" cm="1">
        <f t="array" ref="A5">_xlfn.CONCAT(INDEX(PlayerNames,SUMPRODUCT((PlayerPlayerNo=(ROUNDUP((ROW()-3.5)/4,0)+((VALUE(RIGHT($A$1,1))-1)*4)))*ROW(PlayerNames))-1)," Gross")</f>
        <v>Todd Hubbard Gross</v>
      </c>
      <c r="B5" s="4"/>
      <c r="C5" s="4"/>
      <c r="D5" s="4"/>
      <c r="E5" s="4"/>
      <c r="F5" s="4">
        <v>4</v>
      </c>
      <c r="G5" s="4">
        <v>8</v>
      </c>
      <c r="H5" s="4">
        <v>6</v>
      </c>
      <c r="I5" s="4">
        <v>5</v>
      </c>
      <c r="J5" s="4">
        <v>7</v>
      </c>
      <c r="K5" s="4">
        <v>5</v>
      </c>
      <c r="L5" s="4">
        <v>7</v>
      </c>
      <c r="M5" s="4">
        <v>6</v>
      </c>
      <c r="N5" s="4">
        <v>9</v>
      </c>
      <c r="O5" s="8">
        <f>IF(SUM(F5:N5)&gt;0,SUM(F5:N5),"")</f>
        <v>57</v>
      </c>
      <c r="P5" s="4">
        <v>7</v>
      </c>
      <c r="Q5" s="4">
        <v>8</v>
      </c>
      <c r="R5" s="4">
        <v>8</v>
      </c>
      <c r="S5" s="4">
        <v>6</v>
      </c>
      <c r="T5" s="4">
        <v>5</v>
      </c>
      <c r="U5" s="4">
        <v>8</v>
      </c>
      <c r="V5" s="4">
        <v>6</v>
      </c>
      <c r="W5" s="4">
        <v>5</v>
      </c>
      <c r="X5" s="4">
        <v>9</v>
      </c>
      <c r="Y5" s="8">
        <f>IF(SUM(P5:X5)&gt;0,SUM(P5:X5),"")</f>
        <v>62</v>
      </c>
      <c r="Z5" s="8">
        <f>IF((SUM(F5:N5)+SUM(P5:X5))&gt;0,SUM(F5:N5)+SUM(P5:X5),"")</f>
        <v>119</v>
      </c>
    </row>
    <row r="6" spans="1:26" x14ac:dyDescent="0.2">
      <c r="A6" s="4" t="str" cm="1">
        <f t="array" ref="A6">_xlfn.CONCAT(INDEX(PlayerNames,SUMPRODUCT((PlayerPlayerNo=((ROUNDUP((ROW()-3.5)/4,0))+((VALUE(RIGHT($A$1,1))-1)*4)))*ROW(PlayerNames))-1)," Handicap Strokes")</f>
        <v>Todd Hubbard Handicap Strokes</v>
      </c>
      <c r="B6" s="4"/>
      <c r="C6" s="4"/>
      <c r="D6" s="4"/>
      <c r="E6" s="4"/>
      <c r="F6" s="8">
        <f>ROUNDDOWN($E4/18,0)+IF(MOD($E4,18)&gt;=F4,1,0)</f>
        <v>1</v>
      </c>
      <c r="G6" s="8">
        <f t="shared" ref="G6:N6" si="0">ROUNDDOWN($E4/18,0)+IF(MOD($E4,18)&gt;=G4,1,0)</f>
        <v>2</v>
      </c>
      <c r="H6" s="8">
        <f t="shared" si="0"/>
        <v>1</v>
      </c>
      <c r="I6" s="8">
        <f t="shared" si="0"/>
        <v>1</v>
      </c>
      <c r="J6" s="8">
        <f t="shared" si="0"/>
        <v>1</v>
      </c>
      <c r="K6" s="8">
        <f t="shared" si="0"/>
        <v>2</v>
      </c>
      <c r="L6" s="8">
        <f t="shared" si="0"/>
        <v>1</v>
      </c>
      <c r="M6" s="8">
        <f t="shared" si="0"/>
        <v>1</v>
      </c>
      <c r="N6" s="8">
        <f t="shared" si="0"/>
        <v>2</v>
      </c>
      <c r="O6" s="8">
        <f t="shared" ref="O6:O7" si="1">IF(OR(ISBLANK(F6),F6=""),"",SUM(F6:N6))</f>
        <v>12</v>
      </c>
      <c r="P6" s="8">
        <f t="shared" ref="P6:X6" si="2">ROUNDDOWN($E4/18,0)+IF(MOD($E4,18)&gt;=P4,1,0)</f>
        <v>1</v>
      </c>
      <c r="Q6" s="8">
        <f t="shared" si="2"/>
        <v>2</v>
      </c>
      <c r="R6" s="8">
        <f t="shared" si="2"/>
        <v>1</v>
      </c>
      <c r="S6" s="8">
        <f t="shared" si="2"/>
        <v>1</v>
      </c>
      <c r="T6" s="8">
        <f t="shared" si="2"/>
        <v>1</v>
      </c>
      <c r="U6" s="8">
        <f t="shared" si="2"/>
        <v>2</v>
      </c>
      <c r="V6" s="8">
        <f t="shared" si="2"/>
        <v>1</v>
      </c>
      <c r="W6" s="8">
        <f t="shared" si="2"/>
        <v>1</v>
      </c>
      <c r="X6" s="8">
        <f t="shared" si="2"/>
        <v>2</v>
      </c>
      <c r="Y6" s="8">
        <f t="shared" ref="Y6:Y7" si="3">IF(OR(ISBLANK(P6),P6=""),"",SUM(P6:X6))</f>
        <v>12</v>
      </c>
      <c r="Z6" s="8">
        <f t="shared" ref="Z6:Z7" si="4">IF(OR(ISBLANK(F6),F6=""),"",SUM(F6:N6)+SUM(P6:X6))</f>
        <v>24</v>
      </c>
    </row>
    <row r="7" spans="1:26" x14ac:dyDescent="0.2">
      <c r="A7" s="4" t="str" cm="1">
        <f t="array" ref="A7">_xlfn.CONCAT(INDEX(PlayerNames,SUMPRODUCT((PlayerPlayerNo=((ROUNDUP((ROW()-3.5)/4,0))+((VALUE(RIGHT($A$1,1))-1)*4)))*ROW(PlayerNames))-1)," Net")</f>
        <v>Todd Hubbard Net</v>
      </c>
      <c r="B7" s="4"/>
      <c r="C7" s="4"/>
      <c r="D7" s="4"/>
      <c r="E7" s="4"/>
      <c r="F7" s="8">
        <f t="shared" ref="F7:N7" si="5">IF(F5-F6&gt;0,F5-F6,"")</f>
        <v>3</v>
      </c>
      <c r="G7" s="8">
        <f t="shared" si="5"/>
        <v>6</v>
      </c>
      <c r="H7" s="8">
        <f t="shared" si="5"/>
        <v>5</v>
      </c>
      <c r="I7" s="8">
        <f t="shared" si="5"/>
        <v>4</v>
      </c>
      <c r="J7" s="8">
        <f t="shared" si="5"/>
        <v>6</v>
      </c>
      <c r="K7" s="8">
        <f t="shared" si="5"/>
        <v>3</v>
      </c>
      <c r="L7" s="8">
        <f t="shared" si="5"/>
        <v>6</v>
      </c>
      <c r="M7" s="8">
        <f t="shared" si="5"/>
        <v>5</v>
      </c>
      <c r="N7" s="8">
        <f t="shared" si="5"/>
        <v>7</v>
      </c>
      <c r="O7" s="8">
        <f t="shared" si="1"/>
        <v>45</v>
      </c>
      <c r="P7" s="8">
        <f t="shared" ref="P7:X7" si="6">IF(P5-P6&gt;0,P5-P6,"")</f>
        <v>6</v>
      </c>
      <c r="Q7" s="8">
        <f t="shared" si="6"/>
        <v>6</v>
      </c>
      <c r="R7" s="8">
        <f t="shared" si="6"/>
        <v>7</v>
      </c>
      <c r="S7" s="8">
        <f t="shared" si="6"/>
        <v>5</v>
      </c>
      <c r="T7" s="8">
        <f t="shared" si="6"/>
        <v>4</v>
      </c>
      <c r="U7" s="8">
        <f t="shared" si="6"/>
        <v>6</v>
      </c>
      <c r="V7" s="8">
        <f t="shared" si="6"/>
        <v>5</v>
      </c>
      <c r="W7" s="8">
        <f t="shared" si="6"/>
        <v>4</v>
      </c>
      <c r="X7" s="8">
        <f t="shared" si="6"/>
        <v>7</v>
      </c>
      <c r="Y7" s="8">
        <f t="shared" si="3"/>
        <v>50</v>
      </c>
      <c r="Z7" s="8">
        <f t="shared" si="4"/>
        <v>95</v>
      </c>
    </row>
    <row r="8" spans="1:26" x14ac:dyDescent="0.2">
      <c r="A8" s="4" t="str" cm="1">
        <f t="array" ref="A8">INDEX(PlayerNames,SUMPRODUCT((PlayerPlayerNo=(ROUNDUP((ROW()-3.5)/4,0)+((VALUE(RIGHT($A$1,1))-1)*4)))*ROW(PlayerNames))-1)</f>
        <v>Elisabeth Fast</v>
      </c>
      <c r="B8" s="4" t="str" cm="1">
        <f t="array" ref="B8">INDEX(PlayerTees,SUMPRODUCT((PlayerPlayerNo=((ROUNDUP((ROW()-3.5)/4,0))+((VALUE(RIGHT($A$1,1))-1)*4)))*ROW(PlayerNames))-1)</f>
        <v>White</v>
      </c>
      <c r="C8" s="4" cm="1">
        <f t="array" ref="C8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30</v>
      </c>
      <c r="D8" s="4" cm="1">
        <f t="array" ref="D8">IF(C8="","",IF(C8=0,0,IF(INDEX(PlayerGender,SUMPRODUCT((PlayerPlayerNo=(ROUNDUP((ROW()-3.5)/4,0)+((VALUE(RIGHT($A$1,1))-1)*4)))*ROW(PlayerGender))-1)="M",ROUND((C8*(HLOOKUP(B8,MensTees,2,FALSE)/113))+(HLOOKUP(B8,MensTees,3,FALSE)-HLOOKUP(B8,MensTees,4,FALSE)),0),ROUND((C8*(HLOOKUP(B8,WomensTees,2,FALSE)/113))+(HLOOKUP(B8,WomensTees,3,FALSE)-HLOOKUP(B8,WomensTees,4,FALSE)),0))))</f>
        <v>31</v>
      </c>
      <c r="E8" s="4">
        <f>IF(A9 = "Solo",D8,ROUND(D8*HandicapAllowance,0))</f>
        <v>28</v>
      </c>
      <c r="F8" s="5" cm="1">
        <f t="array" ref="F8">IF($C8="","",IF(INDEX(PlayerGender,SUMPRODUCT((PlayerPlayerNo=(ROUNDUP((ROW()-3.5)/4,0)+((VALUE(RIGHT($A$1,1))-1)*4)))*ROW(PlayerGender))-1)="M",INDEX(HoleHandicapM,F$2,0),INDEX(HoleHandicapF,F$2,0)))</f>
        <v>9</v>
      </c>
      <c r="G8" s="5" cm="1">
        <f t="array" ref="G8">IF($C8="","",IF(INDEX(PlayerGender,SUMPRODUCT((PlayerPlayerNo=(ROUNDUP((ROW()-3.5)/4,0)+((VALUE(RIGHT($A$1,1))-1)*4)))*ROW(PlayerGender))-1)="M",INDEX(HoleHandicapM,G$2,0),INDEX(HoleHandicapF,G$2,0)))</f>
        <v>3</v>
      </c>
      <c r="H8" s="5" cm="1">
        <f t="array" ref="H8">IF($C8="","",IF(INDEX(PlayerGender,SUMPRODUCT((PlayerPlayerNo=(ROUNDUP((ROW()-3.5)/4,0)+((VALUE(RIGHT($A$1,1))-1)*4)))*ROW(PlayerGender))-1)="M",INDEX(HoleHandicapM,H$2,0),INDEX(HoleHandicapF,H$2,0)))</f>
        <v>7</v>
      </c>
      <c r="I8" s="5" cm="1">
        <f t="array" ref="I8">IF($C8="","",IF(INDEX(PlayerGender,SUMPRODUCT((PlayerPlayerNo=(ROUNDUP((ROW()-3.5)/4,0)+((VALUE(RIGHT($A$1,1))-1)*4)))*ROW(PlayerGender))-1)="M",INDEX(HoleHandicapM,I$2,0),INDEX(HoleHandicapF,I$2,0)))</f>
        <v>17</v>
      </c>
      <c r="J8" s="5" cm="1">
        <f t="array" ref="J8">IF($C8="","",IF(INDEX(PlayerGender,SUMPRODUCT((PlayerPlayerNo=(ROUNDUP((ROW()-3.5)/4,0)+((VALUE(RIGHT($A$1,1))-1)*4)))*ROW(PlayerGender))-1)="M",INDEX(HoleHandicapM,J$2,0),INDEX(HoleHandicapF,J$2,0)))</f>
        <v>13</v>
      </c>
      <c r="K8" s="5" cm="1">
        <f t="array" ref="K8">IF($C8="","",IF(INDEX(PlayerGender,SUMPRODUCT((PlayerPlayerNo=(ROUNDUP((ROW()-3.5)/4,0)+((VALUE(RIGHT($A$1,1))-1)*4)))*ROW(PlayerGender))-1)="M",INDEX(HoleHandicapM,K$2,0),INDEX(HoleHandicapF,K$2,0)))</f>
        <v>1</v>
      </c>
      <c r="L8" s="5" cm="1">
        <f t="array" ref="L8">IF($C8="","",IF(INDEX(PlayerGender,SUMPRODUCT((PlayerPlayerNo=(ROUNDUP((ROW()-3.5)/4,0)+((VALUE(RIGHT($A$1,1))-1)*4)))*ROW(PlayerGender))-1)="M",INDEX(HoleHandicapM,L$2,0),INDEX(HoleHandicapF,L$2,0)))</f>
        <v>15</v>
      </c>
      <c r="M8" s="5" cm="1">
        <f t="array" ref="M8">IF($C8="","",IF(INDEX(PlayerGender,SUMPRODUCT((PlayerPlayerNo=(ROUNDUP((ROW()-3.5)/4,0)+((VALUE(RIGHT($A$1,1))-1)*4)))*ROW(PlayerGender))-1)="M",INDEX(HoleHandicapM,M$2,0),INDEX(HoleHandicapF,M$2,0)))</f>
        <v>11</v>
      </c>
      <c r="N8" s="5" cm="1">
        <f t="array" ref="N8">IF($C8="","",IF(INDEX(PlayerGender,SUMPRODUCT((PlayerPlayerNo=(ROUNDUP((ROW()-3.5)/4,0)+((VALUE(RIGHT($A$1,1))-1)*4)))*ROW(PlayerGender))-1)="M",INDEX(HoleHandicapM,N$2,0),INDEX(HoleHandicapF,N$2,0)))</f>
        <v>5</v>
      </c>
      <c r="P8" s="5" cm="1">
        <f t="array" ref="P8">IF($C8="","",IF(INDEX(PlayerGender,SUMPRODUCT((PlayerPlayerNo=(ROUNDUP((ROW()-3.5)/4,0)+((VALUE(RIGHT($A$1,1))-1)*4)))*ROW(PlayerGender))-1)="M",INDEX(HoleHandicapM,P$2,0),INDEX(HoleHandicapF,P$2,0)))</f>
        <v>10</v>
      </c>
      <c r="Q8" s="5" cm="1">
        <f t="array" ref="Q8">IF($C8="","",IF(INDEX(PlayerGender,SUMPRODUCT((PlayerPlayerNo=(ROUNDUP((ROW()-3.5)/4,0)+((VALUE(RIGHT($A$1,1))-1)*4)))*ROW(PlayerGender))-1)="M",INDEX(HoleHandicapM,Q$2,0),INDEX(HoleHandicapF,Q$2,0)))</f>
        <v>4</v>
      </c>
      <c r="R8" s="5" cm="1">
        <f t="array" ref="R8">IF($C8="","",IF(INDEX(PlayerGender,SUMPRODUCT((PlayerPlayerNo=(ROUNDUP((ROW()-3.5)/4,0)+((VALUE(RIGHT($A$1,1))-1)*4)))*ROW(PlayerGender))-1)="M",INDEX(HoleHandicapM,R$2,0),INDEX(HoleHandicapF,R$2,0)))</f>
        <v>8</v>
      </c>
      <c r="S8" s="5" cm="1">
        <f t="array" ref="S8">IF($C8="","",IF(INDEX(PlayerGender,SUMPRODUCT((PlayerPlayerNo=(ROUNDUP((ROW()-3.5)/4,0)+((VALUE(RIGHT($A$1,1))-1)*4)))*ROW(PlayerGender))-1)="M",INDEX(HoleHandicapM,S$2,0),INDEX(HoleHandicapF,S$2,0)))</f>
        <v>16</v>
      </c>
      <c r="T8" s="5" cm="1">
        <f t="array" ref="T8">IF($C8="","",IF(INDEX(PlayerGender,SUMPRODUCT((PlayerPlayerNo=(ROUNDUP((ROW()-3.5)/4,0)+((VALUE(RIGHT($A$1,1))-1)*4)))*ROW(PlayerGender))-1)="M",INDEX(HoleHandicapM,T$2,0),INDEX(HoleHandicapF,T$2,0)))</f>
        <v>18</v>
      </c>
      <c r="U8" s="5" cm="1">
        <f t="array" ref="U8">IF($C8="","",IF(INDEX(PlayerGender,SUMPRODUCT((PlayerPlayerNo=(ROUNDUP((ROW()-3.5)/4,0)+((VALUE(RIGHT($A$1,1))-1)*4)))*ROW(PlayerGender))-1)="M",INDEX(HoleHandicapM,U$2,0),INDEX(HoleHandicapF,U$2,0)))</f>
        <v>2</v>
      </c>
      <c r="V8" s="5" cm="1">
        <f t="array" ref="V8">IF($C8="","",IF(INDEX(PlayerGender,SUMPRODUCT((PlayerPlayerNo=(ROUNDUP((ROW()-3.5)/4,0)+((VALUE(RIGHT($A$1,1))-1)*4)))*ROW(PlayerGender))-1)="M",INDEX(HoleHandicapM,V$2,0),INDEX(HoleHandicapF,V$2,0)))</f>
        <v>14</v>
      </c>
      <c r="W8" s="5" cm="1">
        <f t="array" ref="W8">IF($C8="","",IF(INDEX(PlayerGender,SUMPRODUCT((PlayerPlayerNo=(ROUNDUP((ROW()-3.5)/4,0)+((VALUE(RIGHT($A$1,1))-1)*4)))*ROW(PlayerGender))-1)="M",INDEX(HoleHandicapM,W$2,0),INDEX(HoleHandicapF,W$2,0)))</f>
        <v>12</v>
      </c>
      <c r="X8" s="5" cm="1">
        <f t="array" ref="X8">IF($C8="","",IF(INDEX(PlayerGender,SUMPRODUCT((PlayerPlayerNo=(ROUNDUP((ROW()-3.5)/4,0)+((VALUE(RIGHT($A$1,1))-1)*4)))*ROW(PlayerGender))-1)="M",INDEX(HoleHandicapM,X$2,0),INDEX(HoleHandicapF,X$2,0)))</f>
        <v>6</v>
      </c>
      <c r="Y8" s="5"/>
      <c r="Z8" s="4"/>
    </row>
    <row r="9" spans="1:26" x14ac:dyDescent="0.2">
      <c r="A9" s="4" t="str" cm="1">
        <f t="array" ref="A9">_xlfn.CONCAT(INDEX(PlayerNames,SUMPRODUCT((PlayerPlayerNo=(ROUNDUP((ROW()-3.5)/4,0)+((VALUE(RIGHT($A$1,1))-1)*4)))*ROW(PlayerNames))-1)," Gross")</f>
        <v>Elisabeth Fast Gross</v>
      </c>
      <c r="B9" s="4"/>
      <c r="C9" s="4"/>
      <c r="D9" s="4"/>
      <c r="E9" s="4"/>
      <c r="F9" s="4">
        <v>8</v>
      </c>
      <c r="G9" s="4">
        <v>8</v>
      </c>
      <c r="H9" s="4">
        <v>8</v>
      </c>
      <c r="I9" s="4">
        <v>7</v>
      </c>
      <c r="J9" s="4">
        <v>7</v>
      </c>
      <c r="K9" s="4">
        <v>7</v>
      </c>
      <c r="L9" s="4">
        <v>5</v>
      </c>
      <c r="M9" s="4">
        <v>6</v>
      </c>
      <c r="N9" s="4">
        <v>8</v>
      </c>
      <c r="O9" s="8">
        <f>IF(SUM(F9:N9)&gt;0,SUM(F9:N9),"")</f>
        <v>64</v>
      </c>
      <c r="P9" s="4">
        <v>7</v>
      </c>
      <c r="Q9" s="4">
        <v>7</v>
      </c>
      <c r="R9" s="4">
        <v>5</v>
      </c>
      <c r="S9" s="4">
        <v>5</v>
      </c>
      <c r="T9" s="4">
        <v>6</v>
      </c>
      <c r="U9" s="4">
        <v>7</v>
      </c>
      <c r="V9" s="4">
        <v>6</v>
      </c>
      <c r="W9" s="4">
        <v>6</v>
      </c>
      <c r="X9" s="4">
        <v>9</v>
      </c>
      <c r="Y9" s="8">
        <f>IF(SUM(P9:X9)&gt;0,SUM(P9:X9),"")</f>
        <v>58</v>
      </c>
      <c r="Z9" s="8">
        <f>IF((SUM(F9:N9)+SUM(P9:X9))&gt;0,SUM(F9:N9)+SUM(P9:X9),"")</f>
        <v>122</v>
      </c>
    </row>
    <row r="10" spans="1:26" x14ac:dyDescent="0.2">
      <c r="A10" s="4" t="str" cm="1">
        <f t="array" ref="A10">_xlfn.CONCAT(INDEX(PlayerNames,SUMPRODUCT((PlayerPlayerNo=((ROUNDUP((ROW()-3.5)/4,0))+((VALUE(RIGHT($A$1,1))-1)*4)))*ROW(PlayerNames))-1)," Handicap Strokes")</f>
        <v>Elisabeth Fast Handicap Strokes</v>
      </c>
      <c r="B10" s="4"/>
      <c r="C10" s="4"/>
      <c r="D10" s="4"/>
      <c r="E10" s="4"/>
      <c r="F10" s="8">
        <f>ROUNDDOWN($E8/18,0)+IF(MOD($E8,18)&gt;=F8,1,0)</f>
        <v>2</v>
      </c>
      <c r="G10" s="8">
        <f t="shared" ref="G10:N10" si="7">ROUNDDOWN($E8/18,0)+IF(MOD($E8,18)&gt;=G8,1,0)</f>
        <v>2</v>
      </c>
      <c r="H10" s="8">
        <f t="shared" si="7"/>
        <v>2</v>
      </c>
      <c r="I10" s="8">
        <f t="shared" si="7"/>
        <v>1</v>
      </c>
      <c r="J10" s="8">
        <f t="shared" si="7"/>
        <v>1</v>
      </c>
      <c r="K10" s="8">
        <f t="shared" si="7"/>
        <v>2</v>
      </c>
      <c r="L10" s="8">
        <f t="shared" si="7"/>
        <v>1</v>
      </c>
      <c r="M10" s="8">
        <f t="shared" si="7"/>
        <v>1</v>
      </c>
      <c r="N10" s="8">
        <f t="shared" si="7"/>
        <v>2</v>
      </c>
      <c r="O10" s="8">
        <f t="shared" ref="O10:O11" si="8">IF(OR(ISBLANK(F10),F10=""),"",SUM(F10:N10))</f>
        <v>14</v>
      </c>
      <c r="P10" s="8">
        <f t="shared" ref="P10:X10" si="9">ROUNDDOWN($E8/18,0)+IF(MOD($E8,18)&gt;=P8,1,0)</f>
        <v>2</v>
      </c>
      <c r="Q10" s="8">
        <f t="shared" si="9"/>
        <v>2</v>
      </c>
      <c r="R10" s="8">
        <f t="shared" si="9"/>
        <v>2</v>
      </c>
      <c r="S10" s="8">
        <f t="shared" si="9"/>
        <v>1</v>
      </c>
      <c r="T10" s="8">
        <f t="shared" si="9"/>
        <v>1</v>
      </c>
      <c r="U10" s="8">
        <f t="shared" si="9"/>
        <v>2</v>
      </c>
      <c r="V10" s="8">
        <f t="shared" si="9"/>
        <v>1</v>
      </c>
      <c r="W10" s="8">
        <f t="shared" si="9"/>
        <v>1</v>
      </c>
      <c r="X10" s="8">
        <f t="shared" si="9"/>
        <v>2</v>
      </c>
      <c r="Y10" s="8">
        <f t="shared" ref="Y10:Y11" si="10">IF(OR(ISBLANK(P10),P10=""),"",SUM(P10:X10))</f>
        <v>14</v>
      </c>
      <c r="Z10" s="8">
        <f t="shared" ref="Z10:Z11" si="11">IF(OR(ISBLANK(F10),F10=""),"",SUM(F10:N10)+SUM(P10:X10))</f>
        <v>28</v>
      </c>
    </row>
    <row r="11" spans="1:26" x14ac:dyDescent="0.2">
      <c r="A11" s="4" t="str" cm="1">
        <f t="array" ref="A11">_xlfn.CONCAT(INDEX(PlayerNames,SUMPRODUCT((PlayerPlayerNo=((ROUNDUP((ROW()-3.5)/4,0))+((VALUE(RIGHT($A$1,1))-1)*4)))*ROW(PlayerNames))-1)," Net")</f>
        <v>Elisabeth Fast Net</v>
      </c>
      <c r="B11" s="4"/>
      <c r="C11" s="4"/>
      <c r="D11" s="4"/>
      <c r="E11" s="4"/>
      <c r="F11" s="8">
        <f t="shared" ref="F11:N11" si="12">IF(F9-F10&gt;0,F9-F10,"")</f>
        <v>6</v>
      </c>
      <c r="G11" s="8">
        <f t="shared" si="12"/>
        <v>6</v>
      </c>
      <c r="H11" s="8">
        <f t="shared" si="12"/>
        <v>6</v>
      </c>
      <c r="I11" s="8">
        <f t="shared" si="12"/>
        <v>6</v>
      </c>
      <c r="J11" s="8">
        <f t="shared" si="12"/>
        <v>6</v>
      </c>
      <c r="K11" s="8">
        <f t="shared" si="12"/>
        <v>5</v>
      </c>
      <c r="L11" s="8">
        <f t="shared" si="12"/>
        <v>4</v>
      </c>
      <c r="M11" s="8">
        <f t="shared" si="12"/>
        <v>5</v>
      </c>
      <c r="N11" s="8">
        <f t="shared" si="12"/>
        <v>6</v>
      </c>
      <c r="O11" s="8">
        <f t="shared" si="8"/>
        <v>50</v>
      </c>
      <c r="P11" s="8">
        <f t="shared" ref="P11:X11" si="13">IF(P9-P10&gt;0,P9-P10,"")</f>
        <v>5</v>
      </c>
      <c r="Q11" s="8">
        <f t="shared" si="13"/>
        <v>5</v>
      </c>
      <c r="R11" s="8">
        <f t="shared" si="13"/>
        <v>3</v>
      </c>
      <c r="S11" s="8">
        <f t="shared" si="13"/>
        <v>4</v>
      </c>
      <c r="T11" s="8">
        <f t="shared" si="13"/>
        <v>5</v>
      </c>
      <c r="U11" s="8">
        <f t="shared" si="13"/>
        <v>5</v>
      </c>
      <c r="V11" s="8">
        <f t="shared" si="13"/>
        <v>5</v>
      </c>
      <c r="W11" s="8">
        <f t="shared" si="13"/>
        <v>5</v>
      </c>
      <c r="X11" s="8">
        <f t="shared" si="13"/>
        <v>7</v>
      </c>
      <c r="Y11" s="8">
        <f t="shared" si="10"/>
        <v>44</v>
      </c>
      <c r="Z11" s="8">
        <f t="shared" si="11"/>
        <v>94</v>
      </c>
    </row>
    <row r="12" spans="1:26" x14ac:dyDescent="0.2">
      <c r="A12" s="4" t="str" cm="1">
        <f t="array" ref="A12">INDEX(PlayerNames,SUMPRODUCT((PlayerPlayerNo=(ROUNDUP((ROW()-3.5)/4,0)+((VALUE(RIGHT($A$1,1))-1)*4)))*ROW(PlayerNames))-1)</f>
        <v>Vicki Hubbard</v>
      </c>
      <c r="B12" s="4" t="str" cm="1">
        <f t="array" ref="B12">INDEX(PlayerTees,SUMPRODUCT((PlayerPlayerNo=((ROUNDUP((ROW()-3.5)/4,0))+((VALUE(RIGHT($A$1,1))-1)*4)))*ROW(PlayerNames))-1)</f>
        <v>White</v>
      </c>
      <c r="C12" s="4" cm="1">
        <f t="array" ref="C12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26</v>
      </c>
      <c r="D12" s="4" cm="1">
        <f t="array" ref="D12">IF(C12="","",IF(C12=0,0,IF(INDEX(PlayerGender,SUMPRODUCT((PlayerPlayerNo=(ROUNDUP((ROW()-3.5)/4,0)+((VALUE(RIGHT($A$1,1))-1)*4)))*ROW(PlayerGender))-1)="M",ROUND((C12*(HLOOKUP(B12,MensTees,2,FALSE)/113))+(HLOOKUP(B12,MensTees,3,FALSE)-HLOOKUP(B12,MensTees,4,FALSE)),0),ROUND((C12*(HLOOKUP(B12,WomensTees,2,FALSE)/113))+(HLOOKUP(B12,WomensTees,3,FALSE)-HLOOKUP(B12,WomensTees,4,FALSE)),0))))</f>
        <v>26</v>
      </c>
      <c r="E12" s="4">
        <f>IF(A13 = "Solo",D12,ROUND(D12*HandicapAllowance,0))</f>
        <v>23</v>
      </c>
      <c r="F12" s="5" cm="1">
        <f t="array" ref="F12">IF($C12="","",IF(INDEX(PlayerGender,SUMPRODUCT((PlayerPlayerNo=(ROUNDUP((ROW()-3.5)/4,0)+((VALUE(RIGHT($A$1,1))-1)*4)))*ROW(PlayerGender))-1)="M",INDEX(HoleHandicapM,F$2,0),INDEX(HoleHandicapF,F$2,0)))</f>
        <v>9</v>
      </c>
      <c r="G12" s="5" cm="1">
        <f t="array" ref="G12">IF($C12="","",IF(INDEX(PlayerGender,SUMPRODUCT((PlayerPlayerNo=(ROUNDUP((ROW()-3.5)/4,0)+((VALUE(RIGHT($A$1,1))-1)*4)))*ROW(PlayerGender))-1)="M",INDEX(HoleHandicapM,G$2,0),INDEX(HoleHandicapF,G$2,0)))</f>
        <v>3</v>
      </c>
      <c r="H12" s="5" cm="1">
        <f t="array" ref="H12">IF($C12="","",IF(INDEX(PlayerGender,SUMPRODUCT((PlayerPlayerNo=(ROUNDUP((ROW()-3.5)/4,0)+((VALUE(RIGHT($A$1,1))-1)*4)))*ROW(PlayerGender))-1)="M",INDEX(HoleHandicapM,H$2,0),INDEX(HoleHandicapF,H$2,0)))</f>
        <v>7</v>
      </c>
      <c r="I12" s="5" cm="1">
        <f t="array" ref="I12">IF($C12="","",IF(INDEX(PlayerGender,SUMPRODUCT((PlayerPlayerNo=(ROUNDUP((ROW()-3.5)/4,0)+((VALUE(RIGHT($A$1,1))-1)*4)))*ROW(PlayerGender))-1)="M",INDEX(HoleHandicapM,I$2,0),INDEX(HoleHandicapF,I$2,0)))</f>
        <v>17</v>
      </c>
      <c r="J12" s="5" cm="1">
        <f t="array" ref="J12">IF($C12="","",IF(INDEX(PlayerGender,SUMPRODUCT((PlayerPlayerNo=(ROUNDUP((ROW()-3.5)/4,0)+((VALUE(RIGHT($A$1,1))-1)*4)))*ROW(PlayerGender))-1)="M",INDEX(HoleHandicapM,J$2,0),INDEX(HoleHandicapF,J$2,0)))</f>
        <v>13</v>
      </c>
      <c r="K12" s="5" cm="1">
        <f t="array" ref="K12">IF($C12="","",IF(INDEX(PlayerGender,SUMPRODUCT((PlayerPlayerNo=(ROUNDUP((ROW()-3.5)/4,0)+((VALUE(RIGHT($A$1,1))-1)*4)))*ROW(PlayerGender))-1)="M",INDEX(HoleHandicapM,K$2,0),INDEX(HoleHandicapF,K$2,0)))</f>
        <v>1</v>
      </c>
      <c r="L12" s="5" cm="1">
        <f t="array" ref="L12">IF($C12="","",IF(INDEX(PlayerGender,SUMPRODUCT((PlayerPlayerNo=(ROUNDUP((ROW()-3.5)/4,0)+((VALUE(RIGHT($A$1,1))-1)*4)))*ROW(PlayerGender))-1)="M",INDEX(HoleHandicapM,L$2,0),INDEX(HoleHandicapF,L$2,0)))</f>
        <v>15</v>
      </c>
      <c r="M12" s="5" cm="1">
        <f t="array" ref="M12">IF($C12="","",IF(INDEX(PlayerGender,SUMPRODUCT((PlayerPlayerNo=(ROUNDUP((ROW()-3.5)/4,0)+((VALUE(RIGHT($A$1,1))-1)*4)))*ROW(PlayerGender))-1)="M",INDEX(HoleHandicapM,M$2,0),INDEX(HoleHandicapF,M$2,0)))</f>
        <v>11</v>
      </c>
      <c r="N12" s="5" cm="1">
        <f t="array" ref="N12">IF($C12="","",IF(INDEX(PlayerGender,SUMPRODUCT((PlayerPlayerNo=(ROUNDUP((ROW()-3.5)/4,0)+((VALUE(RIGHT($A$1,1))-1)*4)))*ROW(PlayerGender))-1)="M",INDEX(HoleHandicapM,N$2,0),INDEX(HoleHandicapF,N$2,0)))</f>
        <v>5</v>
      </c>
      <c r="P12" s="5" cm="1">
        <f t="array" ref="P12">IF($C12="","",IF(INDEX(PlayerGender,SUMPRODUCT((PlayerPlayerNo=(ROUNDUP((ROW()-3.5)/4,0)+((VALUE(RIGHT($A$1,1))-1)*4)))*ROW(PlayerGender))-1)="M",INDEX(HoleHandicapM,P$2,0),INDEX(HoleHandicapF,P$2,0)))</f>
        <v>10</v>
      </c>
      <c r="Q12" s="5" cm="1">
        <f t="array" ref="Q12">IF($C12="","",IF(INDEX(PlayerGender,SUMPRODUCT((PlayerPlayerNo=(ROUNDUP((ROW()-3.5)/4,0)+((VALUE(RIGHT($A$1,1))-1)*4)))*ROW(PlayerGender))-1)="M",INDEX(HoleHandicapM,Q$2,0),INDEX(HoleHandicapF,Q$2,0)))</f>
        <v>4</v>
      </c>
      <c r="R12" s="5" cm="1">
        <f t="array" ref="R12">IF($C12="","",IF(INDEX(PlayerGender,SUMPRODUCT((PlayerPlayerNo=(ROUNDUP((ROW()-3.5)/4,0)+((VALUE(RIGHT($A$1,1))-1)*4)))*ROW(PlayerGender))-1)="M",INDEX(HoleHandicapM,R$2,0),INDEX(HoleHandicapF,R$2,0)))</f>
        <v>8</v>
      </c>
      <c r="S12" s="5" cm="1">
        <f t="array" ref="S12">IF($C12="","",IF(INDEX(PlayerGender,SUMPRODUCT((PlayerPlayerNo=(ROUNDUP((ROW()-3.5)/4,0)+((VALUE(RIGHT($A$1,1))-1)*4)))*ROW(PlayerGender))-1)="M",INDEX(HoleHandicapM,S$2,0),INDEX(HoleHandicapF,S$2,0)))</f>
        <v>16</v>
      </c>
      <c r="T12" s="5" cm="1">
        <f t="array" ref="T12">IF($C12="","",IF(INDEX(PlayerGender,SUMPRODUCT((PlayerPlayerNo=(ROUNDUP((ROW()-3.5)/4,0)+((VALUE(RIGHT($A$1,1))-1)*4)))*ROW(PlayerGender))-1)="M",INDEX(HoleHandicapM,T$2,0),INDEX(HoleHandicapF,T$2,0)))</f>
        <v>18</v>
      </c>
      <c r="U12" s="5" cm="1">
        <f t="array" ref="U12">IF($C12="","",IF(INDEX(PlayerGender,SUMPRODUCT((PlayerPlayerNo=(ROUNDUP((ROW()-3.5)/4,0)+((VALUE(RIGHT($A$1,1))-1)*4)))*ROW(PlayerGender))-1)="M",INDEX(HoleHandicapM,U$2,0),INDEX(HoleHandicapF,U$2,0)))</f>
        <v>2</v>
      </c>
      <c r="V12" s="5" cm="1">
        <f t="array" ref="V12">IF($C12="","",IF(INDEX(PlayerGender,SUMPRODUCT((PlayerPlayerNo=(ROUNDUP((ROW()-3.5)/4,0)+((VALUE(RIGHT($A$1,1))-1)*4)))*ROW(PlayerGender))-1)="M",INDEX(HoleHandicapM,V$2,0),INDEX(HoleHandicapF,V$2,0)))</f>
        <v>14</v>
      </c>
      <c r="W12" s="5" cm="1">
        <f t="array" ref="W12">IF($C12="","",IF(INDEX(PlayerGender,SUMPRODUCT((PlayerPlayerNo=(ROUNDUP((ROW()-3.5)/4,0)+((VALUE(RIGHT($A$1,1))-1)*4)))*ROW(PlayerGender))-1)="M",INDEX(HoleHandicapM,W$2,0),INDEX(HoleHandicapF,W$2,0)))</f>
        <v>12</v>
      </c>
      <c r="X12" s="5" cm="1">
        <f t="array" ref="X12">IF($C12="","",IF(INDEX(PlayerGender,SUMPRODUCT((PlayerPlayerNo=(ROUNDUP((ROW()-3.5)/4,0)+((VALUE(RIGHT($A$1,1))-1)*4)))*ROW(PlayerGender))-1)="M",INDEX(HoleHandicapM,X$2,0),INDEX(HoleHandicapF,X$2,0)))</f>
        <v>6</v>
      </c>
      <c r="Y12" s="5"/>
      <c r="Z12" s="4"/>
    </row>
    <row r="13" spans="1:26" x14ac:dyDescent="0.2">
      <c r="A13" s="4" t="str" cm="1">
        <f t="array" ref="A13">_xlfn.CONCAT(INDEX(PlayerNames,SUMPRODUCT((PlayerPlayerNo=(ROUNDUP((ROW()-3.5)/4,0)+((VALUE(RIGHT($A$1,1))-1)*4)))*ROW(PlayerNames))-1)," Gross")</f>
        <v>Vicki Hubbard Gross</v>
      </c>
      <c r="B13" s="4"/>
      <c r="C13" s="4"/>
      <c r="D13" s="4"/>
      <c r="E13" s="4"/>
      <c r="F13" s="4">
        <v>6</v>
      </c>
      <c r="G13" s="4">
        <v>6</v>
      </c>
      <c r="H13" s="4">
        <v>6</v>
      </c>
      <c r="I13" s="4">
        <v>6</v>
      </c>
      <c r="J13" s="4">
        <v>6</v>
      </c>
      <c r="K13" s="4">
        <v>6</v>
      </c>
      <c r="L13" s="4">
        <v>6</v>
      </c>
      <c r="M13" s="4">
        <v>5</v>
      </c>
      <c r="N13" s="4">
        <v>7</v>
      </c>
      <c r="O13" s="8">
        <f>IF(SUM(F13:N13)&gt;0,SUM(F13:N13),"")</f>
        <v>54</v>
      </c>
      <c r="P13" s="4">
        <v>4</v>
      </c>
      <c r="Q13" s="4">
        <v>7</v>
      </c>
      <c r="R13" s="4">
        <v>7</v>
      </c>
      <c r="S13" s="4">
        <v>4</v>
      </c>
      <c r="T13" s="4">
        <v>5</v>
      </c>
      <c r="U13" s="4">
        <v>5</v>
      </c>
      <c r="V13" s="4">
        <v>6</v>
      </c>
      <c r="W13" s="4">
        <v>6</v>
      </c>
      <c r="X13" s="4">
        <v>8</v>
      </c>
      <c r="Y13" s="8">
        <f>IF(SUM(P13:X13)&gt;0,SUM(P13:X13),"")</f>
        <v>52</v>
      </c>
      <c r="Z13" s="8">
        <f>IF((SUM(F13:N13)+SUM(P13:X13))&gt;0,SUM(F13:N13)+SUM(P13:X13),"")</f>
        <v>106</v>
      </c>
    </row>
    <row r="14" spans="1:26" x14ac:dyDescent="0.2">
      <c r="A14" s="4" t="str" cm="1">
        <f t="array" ref="A14">_xlfn.CONCAT(INDEX(PlayerNames,SUMPRODUCT((PlayerPlayerNo=((ROUNDUP((ROW()-3.5)/4,0))+((VALUE(RIGHT($A$1,1))-1)*4)))*ROW(PlayerNames))-1)," Handicap Strokes")</f>
        <v>Vicki Hubbard Handicap Strokes</v>
      </c>
      <c r="B14" s="4"/>
      <c r="C14" s="4"/>
      <c r="D14" s="4"/>
      <c r="E14" s="4"/>
      <c r="F14" s="8">
        <f>ROUNDDOWN($E12/18,0)+IF(MOD($E12,18)&gt;=F12,1,0)</f>
        <v>1</v>
      </c>
      <c r="G14" s="8">
        <f t="shared" ref="G14:N14" si="14">ROUNDDOWN($E12/18,0)+IF(MOD($E12,18)&gt;=G12,1,0)</f>
        <v>2</v>
      </c>
      <c r="H14" s="8">
        <f t="shared" si="14"/>
        <v>1</v>
      </c>
      <c r="I14" s="8">
        <f t="shared" si="14"/>
        <v>1</v>
      </c>
      <c r="J14" s="8">
        <f t="shared" si="14"/>
        <v>1</v>
      </c>
      <c r="K14" s="8">
        <f t="shared" si="14"/>
        <v>2</v>
      </c>
      <c r="L14" s="8">
        <f t="shared" si="14"/>
        <v>1</v>
      </c>
      <c r="M14" s="8">
        <f t="shared" si="14"/>
        <v>1</v>
      </c>
      <c r="N14" s="8">
        <f t="shared" si="14"/>
        <v>2</v>
      </c>
      <c r="O14" s="8">
        <f t="shared" ref="O14:O15" si="15">IF(OR(ISBLANK(F14),F14=""),"",SUM(F14:N14))</f>
        <v>12</v>
      </c>
      <c r="P14" s="8">
        <f t="shared" ref="P14:X14" si="16">ROUNDDOWN($E12/18,0)+IF(MOD($E12,18)&gt;=P12,1,0)</f>
        <v>1</v>
      </c>
      <c r="Q14" s="8">
        <f t="shared" si="16"/>
        <v>2</v>
      </c>
      <c r="R14" s="8">
        <f t="shared" si="16"/>
        <v>1</v>
      </c>
      <c r="S14" s="8">
        <f t="shared" si="16"/>
        <v>1</v>
      </c>
      <c r="T14" s="8">
        <f t="shared" si="16"/>
        <v>1</v>
      </c>
      <c r="U14" s="8">
        <f t="shared" si="16"/>
        <v>2</v>
      </c>
      <c r="V14" s="8">
        <f t="shared" si="16"/>
        <v>1</v>
      </c>
      <c r="W14" s="8">
        <f t="shared" si="16"/>
        <v>1</v>
      </c>
      <c r="X14" s="8">
        <f t="shared" si="16"/>
        <v>1</v>
      </c>
      <c r="Y14" s="8">
        <f t="shared" ref="Y14:Y15" si="17">IF(OR(ISBLANK(P14),P14=""),"",SUM(P14:X14))</f>
        <v>11</v>
      </c>
      <c r="Z14" s="8">
        <f t="shared" ref="Z14:Z15" si="18">IF(OR(ISBLANK(F14),F14=""),"",SUM(F14:N14)+SUM(P14:X14))</f>
        <v>23</v>
      </c>
    </row>
    <row r="15" spans="1:26" x14ac:dyDescent="0.2">
      <c r="A15" s="4" t="str" cm="1">
        <f t="array" ref="A15">_xlfn.CONCAT(INDEX(PlayerNames,SUMPRODUCT((PlayerPlayerNo=((ROUNDUP((ROW()-3.5)/4,0))+((VALUE(RIGHT($A$1,1))-1)*4)))*ROW(PlayerNames))-1)," Net")</f>
        <v>Vicki Hubbard Net</v>
      </c>
      <c r="B15" s="4"/>
      <c r="C15" s="4"/>
      <c r="D15" s="4"/>
      <c r="E15" s="4"/>
      <c r="F15" s="8">
        <f t="shared" ref="F15:N15" si="19">IF(F13-F14&gt;0,F13-F14,"")</f>
        <v>5</v>
      </c>
      <c r="G15" s="8">
        <f t="shared" si="19"/>
        <v>4</v>
      </c>
      <c r="H15" s="8">
        <f t="shared" si="19"/>
        <v>5</v>
      </c>
      <c r="I15" s="8">
        <f t="shared" si="19"/>
        <v>5</v>
      </c>
      <c r="J15" s="8">
        <f t="shared" si="19"/>
        <v>5</v>
      </c>
      <c r="K15" s="8">
        <f t="shared" si="19"/>
        <v>4</v>
      </c>
      <c r="L15" s="8">
        <f t="shared" si="19"/>
        <v>5</v>
      </c>
      <c r="M15" s="8">
        <f t="shared" si="19"/>
        <v>4</v>
      </c>
      <c r="N15" s="8">
        <f t="shared" si="19"/>
        <v>5</v>
      </c>
      <c r="O15" s="8">
        <f t="shared" si="15"/>
        <v>42</v>
      </c>
      <c r="P15" s="8">
        <f t="shared" ref="P15:X15" si="20">IF(P13-P14&gt;0,P13-P14,"")</f>
        <v>3</v>
      </c>
      <c r="Q15" s="8">
        <f t="shared" si="20"/>
        <v>5</v>
      </c>
      <c r="R15" s="8">
        <f t="shared" si="20"/>
        <v>6</v>
      </c>
      <c r="S15" s="8">
        <f t="shared" si="20"/>
        <v>3</v>
      </c>
      <c r="T15" s="8">
        <f t="shared" si="20"/>
        <v>4</v>
      </c>
      <c r="U15" s="8">
        <f t="shared" si="20"/>
        <v>3</v>
      </c>
      <c r="V15" s="8">
        <f t="shared" si="20"/>
        <v>5</v>
      </c>
      <c r="W15" s="8">
        <f t="shared" si="20"/>
        <v>5</v>
      </c>
      <c r="X15" s="8">
        <f t="shared" si="20"/>
        <v>7</v>
      </c>
      <c r="Y15" s="8">
        <f t="shared" si="17"/>
        <v>41</v>
      </c>
      <c r="Z15" s="8">
        <f t="shared" si="18"/>
        <v>83</v>
      </c>
    </row>
    <row r="16" spans="1:26" x14ac:dyDescent="0.2">
      <c r="A16" s="4" t="str" cm="1">
        <f t="array" ref="A16">INDEX(PlayerNames,SUMPRODUCT((PlayerPlayerNo=(ROUNDUP((ROW()-3.5)/4,0)+((VALUE(RIGHT($A$1,1))-1)*4)))*ROW(PlayerNames))-1)</f>
        <v>Travis Hubbard</v>
      </c>
      <c r="B16" s="4" t="str" cm="1">
        <f t="array" ref="B16">INDEX(PlayerTees,SUMPRODUCT((PlayerPlayerNo=((ROUNDUP((ROW()-3.5)/4,0))+((VALUE(RIGHT($A$1,1))-1)*4)))*ROW(PlayerNames))-1)</f>
        <v>Gold</v>
      </c>
      <c r="C16" s="4" cm="1">
        <f t="array" ref="C16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26</v>
      </c>
      <c r="D16" s="4" cm="1">
        <f t="array" ref="D16">IF(C16="","",IF(C16=0,0,IF(INDEX(PlayerGender,SUMPRODUCT((PlayerPlayerNo=(ROUNDUP((ROW()-3.5)/4,0)+((VALUE(RIGHT($A$1,1))-1)*4)))*ROW(PlayerGender))-1)="M",ROUND((C16*(HLOOKUP(B16,MensTees,2,FALSE)/113))+(HLOOKUP(B16,MensTees,3,FALSE)-HLOOKUP(B16,MensTees,4,FALSE)),0),ROUND((C16*(HLOOKUP(B16,WomensTees,2,FALSE)/113))+(HLOOKUP(B16,WomensTees,3,FALSE)-HLOOKUP(B16,WomensTees,4,FALSE)),0))))</f>
        <v>26</v>
      </c>
      <c r="E16" s="4">
        <f>IF(A17 = "Solo",D16,ROUND(D16*HandicapAllowance,0))</f>
        <v>23</v>
      </c>
      <c r="F16" s="5" cm="1">
        <f t="array" ref="F16">IF($C16="","",IF(INDEX(PlayerGender,SUMPRODUCT((PlayerPlayerNo=(ROUNDUP((ROW()-3.5)/4,0)+((VALUE(RIGHT($A$1,1))-1)*4)))*ROW(PlayerGender))-1)="M",INDEX(HoleHandicapM,F$2,0),INDEX(HoleHandicapF,F$2,0)))</f>
        <v>9</v>
      </c>
      <c r="G16" s="5" cm="1">
        <f t="array" ref="G16">IF($C16="","",IF(INDEX(PlayerGender,SUMPRODUCT((PlayerPlayerNo=(ROUNDUP((ROW()-3.5)/4,0)+((VALUE(RIGHT($A$1,1))-1)*4)))*ROW(PlayerGender))-1)="M",INDEX(HoleHandicapM,G$2,0),INDEX(HoleHandicapF,G$2,0)))</f>
        <v>3</v>
      </c>
      <c r="H16" s="5" cm="1">
        <f t="array" ref="H16">IF($C16="","",IF(INDEX(PlayerGender,SUMPRODUCT((PlayerPlayerNo=(ROUNDUP((ROW()-3.5)/4,0)+((VALUE(RIGHT($A$1,1))-1)*4)))*ROW(PlayerGender))-1)="M",INDEX(HoleHandicapM,H$2,0),INDEX(HoleHandicapF,H$2,0)))</f>
        <v>7</v>
      </c>
      <c r="I16" s="5" cm="1">
        <f t="array" ref="I16">IF($C16="","",IF(INDEX(PlayerGender,SUMPRODUCT((PlayerPlayerNo=(ROUNDUP((ROW()-3.5)/4,0)+((VALUE(RIGHT($A$1,1))-1)*4)))*ROW(PlayerGender))-1)="M",INDEX(HoleHandicapM,I$2,0),INDEX(HoleHandicapF,I$2,0)))</f>
        <v>17</v>
      </c>
      <c r="J16" s="5" cm="1">
        <f t="array" ref="J16">IF($C16="","",IF(INDEX(PlayerGender,SUMPRODUCT((PlayerPlayerNo=(ROUNDUP((ROW()-3.5)/4,0)+((VALUE(RIGHT($A$1,1))-1)*4)))*ROW(PlayerGender))-1)="M",INDEX(HoleHandicapM,J$2,0),INDEX(HoleHandicapF,J$2,0)))</f>
        <v>13</v>
      </c>
      <c r="K16" s="5" cm="1">
        <f t="array" ref="K16">IF($C16="","",IF(INDEX(PlayerGender,SUMPRODUCT((PlayerPlayerNo=(ROUNDUP((ROW()-3.5)/4,0)+((VALUE(RIGHT($A$1,1))-1)*4)))*ROW(PlayerGender))-1)="M",INDEX(HoleHandicapM,K$2,0),INDEX(HoleHandicapF,K$2,0)))</f>
        <v>1</v>
      </c>
      <c r="L16" s="5" cm="1">
        <f t="array" ref="L16">IF($C16="","",IF(INDEX(PlayerGender,SUMPRODUCT((PlayerPlayerNo=(ROUNDUP((ROW()-3.5)/4,0)+((VALUE(RIGHT($A$1,1))-1)*4)))*ROW(PlayerGender))-1)="M",INDEX(HoleHandicapM,L$2,0),INDEX(HoleHandicapF,L$2,0)))</f>
        <v>15</v>
      </c>
      <c r="M16" s="5" cm="1">
        <f t="array" ref="M16">IF($C16="","",IF(INDEX(PlayerGender,SUMPRODUCT((PlayerPlayerNo=(ROUNDUP((ROW()-3.5)/4,0)+((VALUE(RIGHT($A$1,1))-1)*4)))*ROW(PlayerGender))-1)="M",INDEX(HoleHandicapM,M$2,0),INDEX(HoleHandicapF,M$2,0)))</f>
        <v>11</v>
      </c>
      <c r="N16" s="5" cm="1">
        <f t="array" ref="N16">IF($C16="","",IF(INDEX(PlayerGender,SUMPRODUCT((PlayerPlayerNo=(ROUNDUP((ROW()-3.5)/4,0)+((VALUE(RIGHT($A$1,1))-1)*4)))*ROW(PlayerGender))-1)="M",INDEX(HoleHandicapM,N$2,0),INDEX(HoleHandicapF,N$2,0)))</f>
        <v>5</v>
      </c>
      <c r="P16" s="5" cm="1">
        <f t="array" ref="P16">IF($C16="","",IF(INDEX(PlayerGender,SUMPRODUCT((PlayerPlayerNo=(ROUNDUP((ROW()-3.5)/4,0)+((VALUE(RIGHT($A$1,1))-1)*4)))*ROW(PlayerGender))-1)="M",INDEX(HoleHandicapM,P$2,0),INDEX(HoleHandicapF,P$2,0)))</f>
        <v>10</v>
      </c>
      <c r="Q16" s="5" cm="1">
        <f t="array" ref="Q16">IF($C16="","",IF(INDEX(PlayerGender,SUMPRODUCT((PlayerPlayerNo=(ROUNDUP((ROW()-3.5)/4,0)+((VALUE(RIGHT($A$1,1))-1)*4)))*ROW(PlayerGender))-1)="M",INDEX(HoleHandicapM,Q$2,0),INDEX(HoleHandicapF,Q$2,0)))</f>
        <v>4</v>
      </c>
      <c r="R16" s="5" cm="1">
        <f t="array" ref="R16">IF($C16="","",IF(INDEX(PlayerGender,SUMPRODUCT((PlayerPlayerNo=(ROUNDUP((ROW()-3.5)/4,0)+((VALUE(RIGHT($A$1,1))-1)*4)))*ROW(PlayerGender))-1)="M",INDEX(HoleHandicapM,R$2,0),INDEX(HoleHandicapF,R$2,0)))</f>
        <v>8</v>
      </c>
      <c r="S16" s="5" cm="1">
        <f t="array" ref="S16">IF($C16="","",IF(INDEX(PlayerGender,SUMPRODUCT((PlayerPlayerNo=(ROUNDUP((ROW()-3.5)/4,0)+((VALUE(RIGHT($A$1,1))-1)*4)))*ROW(PlayerGender))-1)="M",INDEX(HoleHandicapM,S$2,0),INDEX(HoleHandicapF,S$2,0)))</f>
        <v>16</v>
      </c>
      <c r="T16" s="5" cm="1">
        <f t="array" ref="T16">IF($C16="","",IF(INDEX(PlayerGender,SUMPRODUCT((PlayerPlayerNo=(ROUNDUP((ROW()-3.5)/4,0)+((VALUE(RIGHT($A$1,1))-1)*4)))*ROW(PlayerGender))-1)="M",INDEX(HoleHandicapM,T$2,0),INDEX(HoleHandicapF,T$2,0)))</f>
        <v>18</v>
      </c>
      <c r="U16" s="5" cm="1">
        <f t="array" ref="U16">IF($C16="","",IF(INDEX(PlayerGender,SUMPRODUCT((PlayerPlayerNo=(ROUNDUP((ROW()-3.5)/4,0)+((VALUE(RIGHT($A$1,1))-1)*4)))*ROW(PlayerGender))-1)="M",INDEX(HoleHandicapM,U$2,0),INDEX(HoleHandicapF,U$2,0)))</f>
        <v>2</v>
      </c>
      <c r="V16" s="5" cm="1">
        <f t="array" ref="V16">IF($C16="","",IF(INDEX(PlayerGender,SUMPRODUCT((PlayerPlayerNo=(ROUNDUP((ROW()-3.5)/4,0)+((VALUE(RIGHT($A$1,1))-1)*4)))*ROW(PlayerGender))-1)="M",INDEX(HoleHandicapM,V$2,0),INDEX(HoleHandicapF,V$2,0)))</f>
        <v>14</v>
      </c>
      <c r="W16" s="5" cm="1">
        <f t="array" ref="W16">IF($C16="","",IF(INDEX(PlayerGender,SUMPRODUCT((PlayerPlayerNo=(ROUNDUP((ROW()-3.5)/4,0)+((VALUE(RIGHT($A$1,1))-1)*4)))*ROW(PlayerGender))-1)="M",INDEX(HoleHandicapM,W$2,0),INDEX(HoleHandicapF,W$2,0)))</f>
        <v>12</v>
      </c>
      <c r="X16" s="5" cm="1">
        <f t="array" ref="X16">IF($C16="","",IF(INDEX(PlayerGender,SUMPRODUCT((PlayerPlayerNo=(ROUNDUP((ROW()-3.5)/4,0)+((VALUE(RIGHT($A$1,1))-1)*4)))*ROW(PlayerGender))-1)="M",INDEX(HoleHandicapM,X$2,0),INDEX(HoleHandicapF,X$2,0)))</f>
        <v>6</v>
      </c>
      <c r="Y16" s="5"/>
      <c r="Z16" s="4"/>
    </row>
    <row r="17" spans="1:26" x14ac:dyDescent="0.2">
      <c r="A17" s="4" t="str" cm="1">
        <f t="array" ref="A17">_xlfn.CONCAT(INDEX(PlayerNames,SUMPRODUCT((PlayerPlayerNo=(ROUNDUP((ROW()-3.5)/4,0)+((VALUE(RIGHT($A$1,1))-1)*4)))*ROW(PlayerNames))-1)," Gross")</f>
        <v>Travis Hubbard Gross</v>
      </c>
      <c r="B17" s="4"/>
      <c r="C17" s="4"/>
      <c r="D17" s="4"/>
      <c r="E17" s="4"/>
      <c r="F17" s="4">
        <v>6</v>
      </c>
      <c r="G17" s="4">
        <v>8</v>
      </c>
      <c r="H17" s="4">
        <v>6</v>
      </c>
      <c r="I17" s="4">
        <v>5</v>
      </c>
      <c r="J17" s="4">
        <v>5</v>
      </c>
      <c r="K17" s="4">
        <v>5</v>
      </c>
      <c r="L17" s="4">
        <v>4</v>
      </c>
      <c r="M17" s="4">
        <v>5</v>
      </c>
      <c r="N17" s="4">
        <v>5</v>
      </c>
      <c r="O17" s="8">
        <f>IF(SUM(F17:N17)&gt;0,SUM(F17:N17),"")</f>
        <v>49</v>
      </c>
      <c r="P17" s="4">
        <v>5</v>
      </c>
      <c r="Q17" s="4">
        <v>6</v>
      </c>
      <c r="R17" s="4">
        <v>6</v>
      </c>
      <c r="S17" s="4">
        <v>4</v>
      </c>
      <c r="T17" s="4">
        <v>6</v>
      </c>
      <c r="U17" s="4">
        <v>6</v>
      </c>
      <c r="V17" s="4">
        <v>6</v>
      </c>
      <c r="W17" s="4">
        <v>5</v>
      </c>
      <c r="X17" s="4">
        <v>8</v>
      </c>
      <c r="Y17" s="8">
        <f>IF(SUM(P17:X17)&gt;0,SUM(P17:X17),"")</f>
        <v>52</v>
      </c>
      <c r="Z17" s="8">
        <f>IF((SUM(F17:N17)+SUM(P17:X17))&gt;0,SUM(F17:N17)+SUM(P17:X17),"")</f>
        <v>101</v>
      </c>
    </row>
    <row r="18" spans="1:26" x14ac:dyDescent="0.2">
      <c r="A18" s="4" t="str" cm="1">
        <f t="array" ref="A18">_xlfn.CONCAT(INDEX(PlayerNames,SUMPRODUCT((PlayerPlayerNo=((ROUNDUP((ROW()-3.5)/4,0))+((VALUE(RIGHT($A$1,1))-1)*4)))*ROW(PlayerNames))-1)," Handicap Strokes")</f>
        <v>Travis Hubbard Handicap Strokes</v>
      </c>
      <c r="B18" s="4"/>
      <c r="C18" s="4"/>
      <c r="D18" s="4"/>
      <c r="E18" s="4"/>
      <c r="F18" s="8">
        <f>ROUNDDOWN($E16/18,0)+IF(MOD($E16,18)&gt;=F16,1,0)</f>
        <v>1</v>
      </c>
      <c r="G18" s="8">
        <f t="shared" ref="G18:N18" si="21">ROUNDDOWN($E16/18,0)+IF(MOD($E16,18)&gt;=G16,1,0)</f>
        <v>2</v>
      </c>
      <c r="H18" s="8">
        <f t="shared" si="21"/>
        <v>1</v>
      </c>
      <c r="I18" s="8">
        <f t="shared" si="21"/>
        <v>1</v>
      </c>
      <c r="J18" s="8">
        <f t="shared" si="21"/>
        <v>1</v>
      </c>
      <c r="K18" s="8">
        <f t="shared" si="21"/>
        <v>2</v>
      </c>
      <c r="L18" s="8">
        <f t="shared" si="21"/>
        <v>1</v>
      </c>
      <c r="M18" s="8">
        <f t="shared" si="21"/>
        <v>1</v>
      </c>
      <c r="N18" s="8">
        <f t="shared" si="21"/>
        <v>2</v>
      </c>
      <c r="O18" s="8">
        <f t="shared" ref="O18:O19" si="22">IF(OR(ISBLANK(F18),F18=""),"",SUM(F18:N18))</f>
        <v>12</v>
      </c>
      <c r="P18" s="8">
        <f t="shared" ref="P18:X18" si="23">ROUNDDOWN($E16/18,0)+IF(MOD($E16,18)&gt;=P16,1,0)</f>
        <v>1</v>
      </c>
      <c r="Q18" s="8">
        <f t="shared" si="23"/>
        <v>2</v>
      </c>
      <c r="R18" s="8">
        <f t="shared" si="23"/>
        <v>1</v>
      </c>
      <c r="S18" s="8">
        <f t="shared" si="23"/>
        <v>1</v>
      </c>
      <c r="T18" s="8">
        <f t="shared" si="23"/>
        <v>1</v>
      </c>
      <c r="U18" s="8">
        <f t="shared" si="23"/>
        <v>2</v>
      </c>
      <c r="V18" s="8">
        <f t="shared" si="23"/>
        <v>1</v>
      </c>
      <c r="W18" s="8">
        <f t="shared" si="23"/>
        <v>1</v>
      </c>
      <c r="X18" s="8">
        <f t="shared" si="23"/>
        <v>1</v>
      </c>
      <c r="Y18" s="8">
        <f t="shared" ref="Y18:Y19" si="24">IF(OR(ISBLANK(P18),P18=""),"",SUM(P18:X18))</f>
        <v>11</v>
      </c>
      <c r="Z18" s="8">
        <f t="shared" ref="Z18:Z19" si="25">IF(OR(ISBLANK(F18),F18=""),"",SUM(F18:N18)+SUM(P18:X18))</f>
        <v>23</v>
      </c>
    </row>
    <row r="19" spans="1:26" x14ac:dyDescent="0.2">
      <c r="A19" s="4" t="str" cm="1">
        <f t="array" ref="A19">_xlfn.CONCAT(INDEX(PlayerNames,SUMPRODUCT((PlayerPlayerNo=((ROUNDUP((ROW()-3.5)/4,0))+((VALUE(RIGHT($A$1,1))-1)*4)))*ROW(PlayerNames))-1)," Net")</f>
        <v>Travis Hubbard Net</v>
      </c>
      <c r="B19" s="4"/>
      <c r="C19" s="4"/>
      <c r="D19" s="4"/>
      <c r="E19" s="4"/>
      <c r="F19" s="8">
        <f t="shared" ref="F19:N19" si="26">IF(F17-F18&gt;0,F17-F18,"")</f>
        <v>5</v>
      </c>
      <c r="G19" s="8">
        <f t="shared" si="26"/>
        <v>6</v>
      </c>
      <c r="H19" s="8">
        <f t="shared" si="26"/>
        <v>5</v>
      </c>
      <c r="I19" s="8">
        <f t="shared" si="26"/>
        <v>4</v>
      </c>
      <c r="J19" s="8">
        <f t="shared" si="26"/>
        <v>4</v>
      </c>
      <c r="K19" s="8">
        <f t="shared" si="26"/>
        <v>3</v>
      </c>
      <c r="L19" s="8">
        <f t="shared" si="26"/>
        <v>3</v>
      </c>
      <c r="M19" s="8">
        <f t="shared" si="26"/>
        <v>4</v>
      </c>
      <c r="N19" s="8">
        <f t="shared" si="26"/>
        <v>3</v>
      </c>
      <c r="O19" s="8">
        <f t="shared" si="22"/>
        <v>37</v>
      </c>
      <c r="P19" s="8">
        <f t="shared" ref="P19:X19" si="27">IF(P17-P18&gt;0,P17-P18,"")</f>
        <v>4</v>
      </c>
      <c r="Q19" s="8">
        <f t="shared" si="27"/>
        <v>4</v>
      </c>
      <c r="R19" s="8">
        <f t="shared" si="27"/>
        <v>5</v>
      </c>
      <c r="S19" s="8">
        <f t="shared" si="27"/>
        <v>3</v>
      </c>
      <c r="T19" s="8">
        <f t="shared" si="27"/>
        <v>5</v>
      </c>
      <c r="U19" s="8">
        <f t="shared" si="27"/>
        <v>4</v>
      </c>
      <c r="V19" s="8">
        <f t="shared" si="27"/>
        <v>5</v>
      </c>
      <c r="W19" s="8">
        <f t="shared" si="27"/>
        <v>4</v>
      </c>
      <c r="X19" s="8">
        <f t="shared" si="27"/>
        <v>7</v>
      </c>
      <c r="Y19" s="8">
        <f t="shared" si="24"/>
        <v>41</v>
      </c>
      <c r="Z19" s="8">
        <f t="shared" si="25"/>
        <v>78</v>
      </c>
    </row>
    <row r="20" spans="1:26" x14ac:dyDescent="0.2">
      <c r="A20" t="s">
        <v>54</v>
      </c>
      <c r="F20" cm="1">
        <f t="array" ref="F20">IFERROR(_xlfn.LET(_xlpm.x,_xlfn._xlws.FILTER($A$4:$Z$19,RIGHT($A$4:$A$19,4)=" Net"),_xlpm.y,INDEX(_xlpm.x,,COLUMN()),SMALL(_xlpm.y,1)+SMALL(_xlpm.y,2)+SMALL(_xlpm.y,3)),"")</f>
        <v>13</v>
      </c>
      <c r="I20" cm="1">
        <f t="array" ref="I20">IFERROR(_xlfn.LET(_xlpm.x,_xlfn._xlws.FILTER($A$4:$Z$19,RIGHT($A$4:$A$19,4)=" Net"),_xlpm.y,INDEX(_xlpm.x,,COLUMN()),SMALL(_xlpm.y,1)+SMALL(_xlpm.y,2)+SMALL(_xlpm.y,3)),"")</f>
        <v>13</v>
      </c>
      <c r="L20" cm="1">
        <f t="array" ref="L20">IFERROR(_xlfn.LET(_xlpm.x,_xlfn._xlws.FILTER($A$4:$Z$19,RIGHT($A$4:$A$19,4)=" Net"),_xlpm.y,INDEX(_xlpm.x,,COLUMN()),SMALL(_xlpm.y,1)+SMALL(_xlpm.y,2)+SMALL(_xlpm.y,3)),"")</f>
        <v>12</v>
      </c>
      <c r="P20" cm="1">
        <f t="array" ref="P20">IFERROR(_xlfn.LET(_xlpm.x,_xlfn._xlws.FILTER($A$4:$Z$19,RIGHT($A$4:$A$19,4)=" Net"),_xlpm.y,INDEX(_xlpm.x,,COLUMN()),SMALL(_xlpm.y,1)+SMALL(_xlpm.y,2)+SMALL(_xlpm.y,3)),"")</f>
        <v>12</v>
      </c>
      <c r="S20" cm="1">
        <f t="array" ref="S20">IFERROR(_xlfn.LET(_xlpm.x,_xlfn._xlws.FILTER($A$4:$Z$19,RIGHT($A$4:$A$19,4)=" Net"),_xlpm.y,INDEX(_xlpm.x,,COLUMN()),SMALL(_xlpm.y,1)+SMALL(_xlpm.y,2)+SMALL(_xlpm.y,3)),"")</f>
        <v>10</v>
      </c>
      <c r="V20" cm="1">
        <f t="array" ref="V20">IFERROR(_xlfn.LET(_xlpm.x,_xlfn._xlws.FILTER($A$4:$Z$19,RIGHT($A$4:$A$19,4)=" Net"),_xlpm.y,INDEX(_xlpm.x,,COLUMN()),SMALL(_xlpm.y,1)+SMALL(_xlpm.y,2)+SMALL(_xlpm.y,3)),"")</f>
        <v>15</v>
      </c>
    </row>
    <row r="21" spans="1:26" x14ac:dyDescent="0.2">
      <c r="A21" t="s">
        <v>55</v>
      </c>
      <c r="G21" cm="1">
        <f t="array" ref="G21">IFERROR(_xlfn.LET(_xlpm.x,_xlfn._xlws.FILTER($A$4:$Z$19,RIGHT($A$4:$A$19,4)=" Net"),_xlpm.y,INDEX(_xlpm.x,,COLUMN()),SMALL(_xlpm.y,1)+SMALL(_xlpm.y,2)),"")</f>
        <v>10</v>
      </c>
      <c r="J21" cm="1">
        <f t="array" ref="J21">IFERROR(_xlfn.LET(_xlpm.x,_xlfn._xlws.FILTER($A$4:$Z$19,RIGHT($A$4:$A$19,4)=" Net"),_xlpm.y,INDEX(_xlpm.x,,COLUMN()),SMALL(_xlpm.y,1)+SMALL(_xlpm.y,2)),"")</f>
        <v>9</v>
      </c>
      <c r="M21" cm="1">
        <f t="array" ref="M21">IFERROR(_xlfn.LET(_xlpm.x,_xlfn._xlws.FILTER($A$4:$Z$19,RIGHT($A$4:$A$19,4)=" Net"),_xlpm.y,INDEX(_xlpm.x,,COLUMN()),SMALL(_xlpm.y,1)+SMALL(_xlpm.y,2)),"")</f>
        <v>8</v>
      </c>
      <c r="Q21" cm="1">
        <f t="array" ref="Q21">IFERROR(_xlfn.LET(_xlpm.x,_xlfn._xlws.FILTER($A$4:$Z$19,RIGHT($A$4:$A$19,4)=" Net"),_xlpm.y,INDEX(_xlpm.x,,COLUMN()),SMALL(_xlpm.y,1)+SMALL(_xlpm.y,2)),"")</f>
        <v>9</v>
      </c>
      <c r="T21" cm="1">
        <f t="array" ref="T21">IFERROR(_xlfn.LET(_xlpm.x,_xlfn._xlws.FILTER($A$4:$Z$19,RIGHT($A$4:$A$19,4)=" Net"),_xlpm.y,INDEX(_xlpm.x,,COLUMN()),SMALL(_xlpm.y,1)+SMALL(_xlpm.y,2)),"")</f>
        <v>8</v>
      </c>
      <c r="W21" cm="1">
        <f t="array" ref="W21">IFERROR(_xlfn.LET(_xlpm.x,_xlfn._xlws.FILTER($A$4:$Z$19,RIGHT($A$4:$A$19,4)=" Net"),_xlpm.y,INDEX(_xlpm.x,,COLUMN()),SMALL(_xlpm.y,1)+SMALL(_xlpm.y,2)),"")</f>
        <v>8</v>
      </c>
    </row>
    <row r="22" spans="1:26" x14ac:dyDescent="0.2">
      <c r="A22" t="s">
        <v>53</v>
      </c>
      <c r="H22" s="9" cm="1">
        <f t="array" ref="H22">IFERROR(_xlfn.LET(_xlpm.x,_xlfn._xlws.FILTER($A$4:$Z$19,RIGHT('Scoresheet Team 1'!$A$4:$A$19,4)=" Net"),_xlpm.y,INDEX(_xlpm.x,,COLUMN()),SMALL(_xlpm.y,1)),"")</f>
        <v>5</v>
      </c>
      <c r="K22" s="9" cm="1">
        <f t="array" ref="K22">IFERROR(_xlfn.LET(_xlpm.x,_xlfn._xlws.FILTER($A$4:$Z$19,RIGHT('Scoresheet Team 1'!$A$4:$A$19,4)=" Net"),_xlpm.y,INDEX(_xlpm.x,,COLUMN()),SMALL(_xlpm.y,1)),"")</f>
        <v>3</v>
      </c>
      <c r="N22" s="9" cm="1">
        <f t="array" ref="N22">IFERROR(_xlfn.LET(_xlpm.x,_xlfn._xlws.FILTER($A$4:$Z$19,RIGHT('Scoresheet Team 1'!$A$4:$A$19,4)=" Net"),_xlpm.y,INDEX(_xlpm.x,,COLUMN()),SMALL(_xlpm.y,1)),"")</f>
        <v>3</v>
      </c>
      <c r="R22" s="9" cm="1">
        <f t="array" ref="R22">IFERROR(_xlfn.LET(_xlpm.x,_xlfn._xlws.FILTER($A$4:$Z$19,RIGHT('Scoresheet Team 1'!$A$4:$A$19,4)=" Net"),_xlpm.y,INDEX(_xlpm.x,,COLUMN()),SMALL(_xlpm.y,1)),"")</f>
        <v>3</v>
      </c>
      <c r="U22" s="9" cm="1">
        <f t="array" ref="U22">IFERROR(_xlfn.LET(_xlpm.x,_xlfn._xlws.FILTER($A$4:$Z$19,RIGHT('Scoresheet Team 1'!$A$4:$A$19,4)=" Net"),_xlpm.y,INDEX(_xlpm.x,,COLUMN()),SMALL(_xlpm.y,1)),"")</f>
        <v>3</v>
      </c>
      <c r="X22" s="9" cm="1">
        <f t="array" ref="X22">IFERROR(_xlfn.LET(_xlpm.x,_xlfn._xlws.FILTER($A$4:$Z$19,RIGHT('Scoresheet Team 1'!$A$4:$A$19,4)=" Net"),_xlpm.y,INDEX(_xlpm.x,,COLUMN()),SMALL(_xlpm.y,1)),"")</f>
        <v>7</v>
      </c>
    </row>
    <row r="23" spans="1:26" x14ac:dyDescent="0.2">
      <c r="A23" t="str">
        <f>_xlfn.CONCAT("Team '", A2, "' Total")</f>
        <v>Team 'The Huffers' Total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Z23" s="9">
        <f>_xlfn.LET(_xlpm.x,SUM(F20:X22),IF(_xlpm.x&gt;0,_xlpm.x,""))</f>
        <v>151</v>
      </c>
    </row>
  </sheetData>
  <conditionalFormatting sqref="A8:A19 C8 C12 C16 A4 C4 E4:Z4 E8:N8 E12:N12 E16:N16 B9:Z11 B17:Z19 A5:Z7 B13:Z15">
    <cfRule type="expression" dxfId="23" priority="18">
      <formula>MOD(ROUNDUP((ROW()-3.5)/4,0),2)=0</formula>
    </cfRule>
  </conditionalFormatting>
  <conditionalFormatting sqref="O8 Y8:Z8">
    <cfRule type="expression" dxfId="22" priority="17">
      <formula>MOD(ROUNDUP((ROW()-3.5)/4,0),2)=0</formula>
    </cfRule>
  </conditionalFormatting>
  <conditionalFormatting sqref="O12 Y12:Z12">
    <cfRule type="expression" dxfId="21" priority="16">
      <formula>MOD(ROUNDUP((ROW()-3.5)/4,0),2)=0</formula>
    </cfRule>
  </conditionalFormatting>
  <conditionalFormatting sqref="O16 Y16:Z16">
    <cfRule type="expression" dxfId="20" priority="15">
      <formula>MOD(ROUNDUP((ROW()-3.5)/4,0),2)=0</formula>
    </cfRule>
  </conditionalFormatting>
  <conditionalFormatting sqref="P8:X8">
    <cfRule type="expression" dxfId="19" priority="14">
      <formula>MOD(ROUNDUP((ROW()-3.5)/4,0),2)=0</formula>
    </cfRule>
  </conditionalFormatting>
  <conditionalFormatting sqref="P12:X12">
    <cfRule type="expression" dxfId="18" priority="13">
      <formula>MOD(ROUNDUP((ROW()-3.5)/4,0),2)=0</formula>
    </cfRule>
  </conditionalFormatting>
  <conditionalFormatting sqref="P16:X16">
    <cfRule type="expression" dxfId="17" priority="12">
      <formula>MOD(ROUNDUP((ROW()-3.5)/4,0),2)=0</formula>
    </cfRule>
  </conditionalFormatting>
  <conditionalFormatting sqref="B4">
    <cfRule type="expression" dxfId="16" priority="11">
      <formula>MOD(ROUNDUP((ROW()-3.5)/4,0),2)=0</formula>
    </cfRule>
  </conditionalFormatting>
  <conditionalFormatting sqref="B8">
    <cfRule type="expression" dxfId="15" priority="10">
      <formula>MOD(ROUNDUP((ROW()-3.5)/4,0),2)=0</formula>
    </cfRule>
  </conditionalFormatting>
  <conditionalFormatting sqref="B12">
    <cfRule type="expression" dxfId="14" priority="9">
      <formula>MOD(ROUNDUP((ROW()-3.5)/4,0),2)=0</formula>
    </cfRule>
  </conditionalFormatting>
  <conditionalFormatting sqref="B16">
    <cfRule type="expression" dxfId="13" priority="8">
      <formula>MOD(ROUNDUP((ROW()-3.5)/4,0),2)=0</formula>
    </cfRule>
  </conditionalFormatting>
  <conditionalFormatting sqref="D4">
    <cfRule type="expression" dxfId="12" priority="7">
      <formula>MOD(ROUNDUP((ROW()-3.5)/4,0),2)=0</formula>
    </cfRule>
  </conditionalFormatting>
  <conditionalFormatting sqref="D8">
    <cfRule type="expression" dxfId="11" priority="6">
      <formula>MOD(ROUNDUP((ROW()-3.5)/4,0),2)=0</formula>
    </cfRule>
  </conditionalFormatting>
  <conditionalFormatting sqref="D12">
    <cfRule type="expression" dxfId="10" priority="5">
      <formula>MOD(ROUNDUP((ROW()-3.5)/4,0),2)=0</formula>
    </cfRule>
  </conditionalFormatting>
  <conditionalFormatting sqref="D16">
    <cfRule type="expression" dxfId="9" priority="4">
      <formula>MOD(ROUNDUP((ROW()-3.5)/4,0),2)=0</formula>
    </cfRule>
  </conditionalFormatting>
  <conditionalFormatting sqref="A20:X21">
    <cfRule type="expression" dxfId="8" priority="1">
      <formula>MOD(ROUNDUP((ROW()-3.5)/4,0),2)=0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014B1-A00B-43BB-A542-215DD51992DB}">
  <dimension ref="A1:Z23"/>
  <sheetViews>
    <sheetView topLeftCell="P13" workbookViewId="0">
      <selection activeCell="Q19" sqref="Q19"/>
    </sheetView>
  </sheetViews>
  <sheetFormatPr defaultRowHeight="15" x14ac:dyDescent="0.2"/>
  <cols>
    <col min="1" max="1" width="15.33203125" customWidth="1"/>
    <col min="2" max="2" width="11.703125" bestFit="1" customWidth="1"/>
    <col min="3" max="3" width="6.05078125" bestFit="1" customWidth="1"/>
    <col min="4" max="4" width="7.3984375" bestFit="1" customWidth="1"/>
    <col min="5" max="5" width="10.625" customWidth="1"/>
    <col min="6" max="14" width="3.765625" customWidth="1"/>
    <col min="15" max="15" width="5.6484375" bestFit="1" customWidth="1"/>
    <col min="16" max="24" width="3.765625" customWidth="1"/>
    <col min="25" max="25" width="4.9765625" bestFit="1" customWidth="1"/>
    <col min="26" max="26" width="5.37890625" bestFit="1" customWidth="1"/>
  </cols>
  <sheetData>
    <row r="1" spans="1:26" x14ac:dyDescent="0.2">
      <c r="A1" s="4" t="s">
        <v>57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P1" s="4"/>
      <c r="Q1" s="4"/>
      <c r="R1" s="4"/>
      <c r="S1" s="4"/>
      <c r="T1" s="4"/>
      <c r="U1" s="4"/>
      <c r="V1" s="4"/>
    </row>
    <row r="2" spans="1:26" x14ac:dyDescent="0.2">
      <c r="A2" s="4" t="s">
        <v>58</v>
      </c>
      <c r="B2" s="4"/>
      <c r="C2" s="4"/>
      <c r="D2" s="4"/>
      <c r="E2" s="4"/>
      <c r="F2" s="6">
        <v>1</v>
      </c>
      <c r="G2" s="6">
        <v>2</v>
      </c>
      <c r="H2" s="6">
        <v>3</v>
      </c>
      <c r="I2" s="6">
        <v>4</v>
      </c>
      <c r="J2" s="6">
        <v>5</v>
      </c>
      <c r="K2" s="6">
        <v>6</v>
      </c>
      <c r="L2" s="6">
        <v>7</v>
      </c>
      <c r="M2" s="6">
        <v>8</v>
      </c>
      <c r="N2" s="6">
        <v>9</v>
      </c>
      <c r="O2" s="5" t="s">
        <v>47</v>
      </c>
      <c r="P2" s="6">
        <v>10</v>
      </c>
      <c r="Q2" s="6">
        <v>11</v>
      </c>
      <c r="R2" s="6">
        <v>12</v>
      </c>
      <c r="S2" s="6">
        <v>13</v>
      </c>
      <c r="T2" s="6">
        <v>14</v>
      </c>
      <c r="U2" s="6">
        <v>15</v>
      </c>
      <c r="V2" s="6">
        <v>16</v>
      </c>
      <c r="W2" s="6">
        <v>17</v>
      </c>
      <c r="X2" s="6">
        <v>18</v>
      </c>
      <c r="Y2" t="s">
        <v>48</v>
      </c>
      <c r="Z2" t="s">
        <v>28</v>
      </c>
    </row>
    <row r="3" spans="1:26" ht="30" x14ac:dyDescent="0.2">
      <c r="A3" s="4"/>
      <c r="B3" s="4" t="s">
        <v>8</v>
      </c>
      <c r="C3" s="4" t="s">
        <v>49</v>
      </c>
      <c r="D3" s="7" t="s">
        <v>51</v>
      </c>
      <c r="E3" s="4" t="s">
        <v>50</v>
      </c>
      <c r="F3" s="5" cm="1">
        <f t="array" ref="F3">INDEX(HoleParM,F2,0)</f>
        <v>4</v>
      </c>
      <c r="G3" s="5" cm="1">
        <f t="array" ref="G3">INDEX(HoleParM,G2,0)</f>
        <v>5</v>
      </c>
      <c r="H3" s="5" cm="1">
        <f t="array" ref="H3">INDEX(HoleParM,H2,0)</f>
        <v>4</v>
      </c>
      <c r="I3" s="5" cm="1">
        <f t="array" ref="I3">INDEX(HoleParM,I2,0)</f>
        <v>4</v>
      </c>
      <c r="J3" s="5" cm="1">
        <f t="array" ref="J3">INDEX(HoleParM,J2,0)</f>
        <v>3</v>
      </c>
      <c r="K3" s="5" cm="1">
        <f t="array" ref="K3">INDEX(HoleParM,K2,0)</f>
        <v>4</v>
      </c>
      <c r="L3" s="5" cm="1">
        <f t="array" ref="L3">INDEX(HoleParM,L2,0)</f>
        <v>4</v>
      </c>
      <c r="M3" s="5" cm="1">
        <f t="array" ref="M3">INDEX(HoleParM,M2,0)</f>
        <v>3</v>
      </c>
      <c r="N3" s="5" cm="1">
        <f t="array" ref="N3">INDEX(HoleParM,N2,0)</f>
        <v>5</v>
      </c>
      <c r="O3" s="8">
        <f>IF(SUM(F3:N3)&gt;0,SUM(F3:N3),"")</f>
        <v>36</v>
      </c>
      <c r="P3" s="5" cm="1">
        <f t="array" ref="P3">INDEX(HoleParM,P2,0)</f>
        <v>4</v>
      </c>
      <c r="Q3" s="5" cm="1">
        <f t="array" ref="Q3">INDEX(HoleParM,Q2,0)</f>
        <v>4</v>
      </c>
      <c r="R3" s="5" cm="1">
        <f t="array" ref="R3">INDEX(HoleParM,R2,0)</f>
        <v>5</v>
      </c>
      <c r="S3" s="5" cm="1">
        <f t="array" ref="S3">INDEX(HoleParM,S2,0)</f>
        <v>3</v>
      </c>
      <c r="T3" s="5" cm="1">
        <f t="array" ref="T3">INDEX(HoleParM,T2,0)</f>
        <v>4</v>
      </c>
      <c r="U3" s="5" cm="1">
        <f t="array" ref="U3">INDEX(HoleParM,U2,0)</f>
        <v>4</v>
      </c>
      <c r="V3" s="5" cm="1">
        <f t="array" ref="V3">INDEX(HoleParM,V2,0)</f>
        <v>4</v>
      </c>
      <c r="W3" s="5" cm="1">
        <f t="array" ref="W3">INDEX(HoleParM,W2,0)</f>
        <v>3</v>
      </c>
      <c r="X3" s="5" cm="1">
        <f t="array" ref="X3">INDEX(HoleParM,X2,0)</f>
        <v>5</v>
      </c>
      <c r="Y3" s="8">
        <f>IF(SUM(P3:X3)&gt;0,SUM(P3:X3),"")</f>
        <v>36</v>
      </c>
      <c r="Z3" s="8">
        <f>IF((SUM(F3:N3)+SUM(P3:X3))&gt;0,SUM(F3:N3)+SUM(P3:X3),"")</f>
        <v>72</v>
      </c>
    </row>
    <row r="4" spans="1:26" x14ac:dyDescent="0.2">
      <c r="A4" s="4" t="str" cm="1">
        <f t="array" ref="A4">INDEX(PlayerNames,SUMPRODUCT((PlayerPlayerNo=(ROUNDUP((ROW()-3.5)/4,0)+((VALUE(RIGHT($A$1,1))-1)*4)))*ROW(PlayerNames))-1)</f>
        <v>John Allen</v>
      </c>
      <c r="B4" s="4" t="str" cm="1">
        <f t="array" ref="B4">INDEX(PlayerTees,SUMPRODUCT((PlayerPlayerNo=((ROUNDUP((ROW()-3.5)/4,0))+((VALUE(RIGHT($A$1,1))-1)*4)))*ROW(PlayerNames))-1)</f>
        <v>Gold</v>
      </c>
      <c r="C4" s="4" cm="1">
        <f t="array" ref="C4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27.8</v>
      </c>
      <c r="D4" s="4" cm="1">
        <f t="array" ref="D4">IF(C4="","",IF(C4=0,0,IF(INDEX(PlayerGender,SUMPRODUCT((PlayerPlayerNo=(ROUNDUP((ROW()-3.5)/4,0)+((VALUE(RIGHT($A$1,1))-1)*4)))*ROW(PlayerGender))-1)="M",ROUND((C4*(HLOOKUP(B4,MensTees,2,FALSE)/113))+(HLOOKUP(B4,MensTees,3,FALSE)-HLOOKUP(B4,MensTees,4,FALSE)),0),ROUND((C4*(HLOOKUP(B4,WomensTees,2,FALSE)/113))+(HLOOKUP(B4,WomensTees,3,FALSE)-HLOOKUP(B4,WomensTees,4,FALSE)),0))))</f>
        <v>28</v>
      </c>
      <c r="E4" s="4">
        <f>IF(A5 = "Solo",D4,ROUND(D4*HandicapAllowance,0))</f>
        <v>25</v>
      </c>
      <c r="F4" s="5" cm="1">
        <f t="array" ref="F4">IF($C4="","",IF(INDEX(PlayerGender,SUMPRODUCT((PlayerPlayerNo=(ROUNDUP((ROW()-3.5)/4,0)+((VALUE(RIGHT($A$1,1))-1)*4)))*ROW(PlayerGender))-1)="M",INDEX(HoleHandicapM,F$2,0),INDEX(HoleHandicapF,F$2,0)))</f>
        <v>9</v>
      </c>
      <c r="G4" s="5" cm="1">
        <f t="array" ref="G4">IF($C4="","",IF(INDEX(PlayerGender,SUMPRODUCT((PlayerPlayerNo=(ROUNDUP((ROW()-3.5)/4,0)+((VALUE(RIGHT($A$1,1))-1)*4)))*ROW(PlayerGender))-1)="M",INDEX(HoleHandicapM,G$2,0),INDEX(HoleHandicapF,G$2,0)))</f>
        <v>3</v>
      </c>
      <c r="H4" s="5" cm="1">
        <f t="array" ref="H4">IF($C4="","",IF(INDEX(PlayerGender,SUMPRODUCT((PlayerPlayerNo=(ROUNDUP((ROW()-3.5)/4,0)+((VALUE(RIGHT($A$1,1))-1)*4)))*ROW(PlayerGender))-1)="M",INDEX(HoleHandicapM,H$2,0),INDEX(HoleHandicapF,H$2,0)))</f>
        <v>7</v>
      </c>
      <c r="I4" s="5" cm="1">
        <f t="array" ref="I4">IF($C4="","",IF(INDEX(PlayerGender,SUMPRODUCT((PlayerPlayerNo=(ROUNDUP((ROW()-3.5)/4,0)+((VALUE(RIGHT($A$1,1))-1)*4)))*ROW(PlayerGender))-1)="M",INDEX(HoleHandicapM,I$2,0),INDEX(HoleHandicapF,I$2,0)))</f>
        <v>17</v>
      </c>
      <c r="J4" s="5" cm="1">
        <f t="array" ref="J4">IF($C4="","",IF(INDEX(PlayerGender,SUMPRODUCT((PlayerPlayerNo=(ROUNDUP((ROW()-3.5)/4,0)+((VALUE(RIGHT($A$1,1))-1)*4)))*ROW(PlayerGender))-1)="M",INDEX(HoleHandicapM,J$2,0),INDEX(HoleHandicapF,J$2,0)))</f>
        <v>13</v>
      </c>
      <c r="K4" s="5" cm="1">
        <f t="array" ref="K4">IF($C4="","",IF(INDEX(PlayerGender,SUMPRODUCT((PlayerPlayerNo=(ROUNDUP((ROW()-3.5)/4,0)+((VALUE(RIGHT($A$1,1))-1)*4)))*ROW(PlayerGender))-1)="M",INDEX(HoleHandicapM,K$2,0),INDEX(HoleHandicapF,K$2,0)))</f>
        <v>1</v>
      </c>
      <c r="L4" s="5" cm="1">
        <f t="array" ref="L4">IF($C4="","",IF(INDEX(PlayerGender,SUMPRODUCT((PlayerPlayerNo=(ROUNDUP((ROW()-3.5)/4,0)+((VALUE(RIGHT($A$1,1))-1)*4)))*ROW(PlayerGender))-1)="M",INDEX(HoleHandicapM,L$2,0),INDEX(HoleHandicapF,L$2,0)))</f>
        <v>15</v>
      </c>
      <c r="M4" s="5" cm="1">
        <f t="array" ref="M4">IF($C4="","",IF(INDEX(PlayerGender,SUMPRODUCT((PlayerPlayerNo=(ROUNDUP((ROW()-3.5)/4,0)+((VALUE(RIGHT($A$1,1))-1)*4)))*ROW(PlayerGender))-1)="M",INDEX(HoleHandicapM,M$2,0),INDEX(HoleHandicapF,M$2,0)))</f>
        <v>11</v>
      </c>
      <c r="N4" s="5" cm="1">
        <f t="array" ref="N4">IF($C4="","",IF(INDEX(PlayerGender,SUMPRODUCT((PlayerPlayerNo=(ROUNDUP((ROW()-3.5)/4,0)+((VALUE(RIGHT($A$1,1))-1)*4)))*ROW(PlayerGender))-1)="M",INDEX(HoleHandicapM,N$2,0),INDEX(HoleHandicapF,N$2,0)))</f>
        <v>5</v>
      </c>
      <c r="O4" s="5"/>
      <c r="P4" s="5" cm="1">
        <f t="array" ref="P4">IF($C4="","",IF(INDEX(PlayerGender,SUMPRODUCT((PlayerPlayerNo=(ROUNDUP((ROW()-3.5)/4,0)+((VALUE(RIGHT($A$1,1))-1)*4)))*ROW(PlayerGender))-1)="M",INDEX(HoleHandicapM,P$2,0),INDEX(HoleHandicapF,P$2,0)))</f>
        <v>10</v>
      </c>
      <c r="Q4" s="5" cm="1">
        <f t="array" ref="Q4">IF($C4="","",IF(INDEX(PlayerGender,SUMPRODUCT((PlayerPlayerNo=(ROUNDUP((ROW()-3.5)/4,0)+((VALUE(RIGHT($A$1,1))-1)*4)))*ROW(PlayerGender))-1)="M",INDEX(HoleHandicapM,Q$2,0),INDEX(HoleHandicapF,Q$2,0)))</f>
        <v>4</v>
      </c>
      <c r="R4" s="5" cm="1">
        <f t="array" ref="R4">IF($C4="","",IF(INDEX(PlayerGender,SUMPRODUCT((PlayerPlayerNo=(ROUNDUP((ROW()-3.5)/4,0)+((VALUE(RIGHT($A$1,1))-1)*4)))*ROW(PlayerGender))-1)="M",INDEX(HoleHandicapM,R$2,0),INDEX(HoleHandicapF,R$2,0)))</f>
        <v>8</v>
      </c>
      <c r="S4" s="5" cm="1">
        <f t="array" ref="S4">IF($C4="","",IF(INDEX(PlayerGender,SUMPRODUCT((PlayerPlayerNo=(ROUNDUP((ROW()-3.5)/4,0)+((VALUE(RIGHT($A$1,1))-1)*4)))*ROW(PlayerGender))-1)="M",INDEX(HoleHandicapM,S$2,0),INDEX(HoleHandicapF,S$2,0)))</f>
        <v>16</v>
      </c>
      <c r="T4" s="5" cm="1">
        <f t="array" ref="T4">IF($C4="","",IF(INDEX(PlayerGender,SUMPRODUCT((PlayerPlayerNo=(ROUNDUP((ROW()-3.5)/4,0)+((VALUE(RIGHT($A$1,1))-1)*4)))*ROW(PlayerGender))-1)="M",INDEX(HoleHandicapM,T$2,0),INDEX(HoleHandicapF,T$2,0)))</f>
        <v>18</v>
      </c>
      <c r="U4" s="5" cm="1">
        <f t="array" ref="U4">IF($C4="","",IF(INDEX(PlayerGender,SUMPRODUCT((PlayerPlayerNo=(ROUNDUP((ROW()-3.5)/4,0)+((VALUE(RIGHT($A$1,1))-1)*4)))*ROW(PlayerGender))-1)="M",INDEX(HoleHandicapM,U$2,0),INDEX(HoleHandicapF,U$2,0)))</f>
        <v>2</v>
      </c>
      <c r="V4" s="5" cm="1">
        <f t="array" ref="V4">IF($C4="","",IF(INDEX(PlayerGender,SUMPRODUCT((PlayerPlayerNo=(ROUNDUP((ROW()-3.5)/4,0)+((VALUE(RIGHT($A$1,1))-1)*4)))*ROW(PlayerGender))-1)="M",INDEX(HoleHandicapM,V$2,0),INDEX(HoleHandicapF,V$2,0)))</f>
        <v>14</v>
      </c>
      <c r="W4" s="5" cm="1">
        <f t="array" ref="W4">IF($C4="","",IF(INDEX(PlayerGender,SUMPRODUCT((PlayerPlayerNo=(ROUNDUP((ROW()-3.5)/4,0)+((VALUE(RIGHT($A$1,1))-1)*4)))*ROW(PlayerGender))-1)="M",INDEX(HoleHandicapM,W$2,0),INDEX(HoleHandicapF,W$2,0)))</f>
        <v>12</v>
      </c>
      <c r="X4" s="5" cm="1">
        <f t="array" ref="X4">IF($C4="","",IF(INDEX(PlayerGender,SUMPRODUCT((PlayerPlayerNo=(ROUNDUP((ROW()-3.5)/4,0)+((VALUE(RIGHT($A$1,1))-1)*4)))*ROW(PlayerGender))-1)="M",INDEX(HoleHandicapM,X$2,0),INDEX(HoleHandicapF,X$2,0)))</f>
        <v>6</v>
      </c>
      <c r="Y4" s="5"/>
      <c r="Z4" s="4"/>
    </row>
    <row r="5" spans="1:26" x14ac:dyDescent="0.2">
      <c r="A5" s="4" t="str" cm="1">
        <f t="array" ref="A5">_xlfn.CONCAT(INDEX(PlayerNames,SUMPRODUCT((PlayerPlayerNo=(ROUNDUP((ROW()-3.5)/4,0)+((VALUE(RIGHT($A$1,1))-1)*4)))*ROW(PlayerNames))-1)," Gross")</f>
        <v>John Allen Gross</v>
      </c>
      <c r="B5" s="4"/>
      <c r="C5" s="4"/>
      <c r="D5" s="4"/>
      <c r="E5" s="4"/>
      <c r="F5" s="4">
        <v>4</v>
      </c>
      <c r="G5" s="4">
        <v>6</v>
      </c>
      <c r="H5" s="4">
        <v>6</v>
      </c>
      <c r="I5" s="4">
        <v>4</v>
      </c>
      <c r="J5" s="4">
        <v>4</v>
      </c>
      <c r="K5" s="4">
        <v>6</v>
      </c>
      <c r="L5" s="4">
        <v>5</v>
      </c>
      <c r="M5" s="4">
        <v>5</v>
      </c>
      <c r="N5" s="4">
        <v>6</v>
      </c>
      <c r="O5" s="8">
        <f>IF(SUM(F5:N5)&gt;0,SUM(F5:N5),"")</f>
        <v>46</v>
      </c>
      <c r="P5" s="4">
        <v>8</v>
      </c>
      <c r="Q5" s="4">
        <v>4</v>
      </c>
      <c r="R5" s="4">
        <v>6</v>
      </c>
      <c r="S5" s="4">
        <v>4</v>
      </c>
      <c r="T5" s="4">
        <v>3</v>
      </c>
      <c r="U5" s="4">
        <v>7</v>
      </c>
      <c r="V5" s="4">
        <v>5</v>
      </c>
      <c r="W5" s="4">
        <v>3</v>
      </c>
      <c r="X5" s="4">
        <v>8</v>
      </c>
      <c r="Y5" s="8">
        <f>IF(SUM(P5:X5)&gt;0,SUM(P5:X5),"")</f>
        <v>48</v>
      </c>
      <c r="Z5" s="8">
        <f>IF((SUM(F5:N5)+SUM(P5:X5))&gt;0,SUM(F5:N5)+SUM(P5:X5),"")</f>
        <v>94</v>
      </c>
    </row>
    <row r="6" spans="1:26" x14ac:dyDescent="0.2">
      <c r="A6" s="4" t="str" cm="1">
        <f t="array" ref="A6">_xlfn.CONCAT(INDEX(PlayerNames,SUMPRODUCT((PlayerPlayerNo=((ROUNDUP((ROW()-3.5)/4,0))+((VALUE(RIGHT($A$1,1))-1)*4)))*ROW(PlayerNames))-1)," Handicap Strokes")</f>
        <v>John Allen Handicap Strokes</v>
      </c>
      <c r="B6" s="4"/>
      <c r="C6" s="4"/>
      <c r="D6" s="4"/>
      <c r="E6" s="4"/>
      <c r="F6" s="8">
        <f>ROUNDDOWN($E4/18,0)+IF(MOD($E4,18)&gt;=F4,1,0)</f>
        <v>1</v>
      </c>
      <c r="G6" s="8">
        <f t="shared" ref="G6:N6" si="0">ROUNDDOWN($E4/18,0)+IF(MOD($E4,18)&gt;=G4,1,0)</f>
        <v>2</v>
      </c>
      <c r="H6" s="8">
        <f t="shared" si="0"/>
        <v>2</v>
      </c>
      <c r="I6" s="8">
        <f t="shared" si="0"/>
        <v>1</v>
      </c>
      <c r="J6" s="8">
        <f t="shared" si="0"/>
        <v>1</v>
      </c>
      <c r="K6" s="8">
        <f t="shared" si="0"/>
        <v>2</v>
      </c>
      <c r="L6" s="8">
        <f t="shared" si="0"/>
        <v>1</v>
      </c>
      <c r="M6" s="8">
        <f t="shared" si="0"/>
        <v>1</v>
      </c>
      <c r="N6" s="8">
        <f t="shared" si="0"/>
        <v>2</v>
      </c>
      <c r="O6" s="8">
        <f t="shared" ref="O6:O7" si="1">IF(OR(ISBLANK(F6),F6=""),"",SUM(F6:N6))</f>
        <v>13</v>
      </c>
      <c r="P6" s="8">
        <f t="shared" ref="P6:X6" si="2">ROUNDDOWN($E4/18,0)+IF(MOD($E4,18)&gt;=P4,1,0)</f>
        <v>1</v>
      </c>
      <c r="Q6" s="8">
        <f t="shared" si="2"/>
        <v>2</v>
      </c>
      <c r="R6" s="8">
        <f t="shared" si="2"/>
        <v>1</v>
      </c>
      <c r="S6" s="8">
        <f t="shared" si="2"/>
        <v>1</v>
      </c>
      <c r="T6" s="8">
        <f t="shared" si="2"/>
        <v>1</v>
      </c>
      <c r="U6" s="8">
        <f t="shared" si="2"/>
        <v>2</v>
      </c>
      <c r="V6" s="8">
        <f t="shared" si="2"/>
        <v>1</v>
      </c>
      <c r="W6" s="8">
        <f t="shared" si="2"/>
        <v>1</v>
      </c>
      <c r="X6" s="8">
        <f t="shared" si="2"/>
        <v>2</v>
      </c>
      <c r="Y6" s="8">
        <f t="shared" ref="Y6:Y7" si="3">IF(OR(ISBLANK(P6),P6=""),"",SUM(P6:X6))</f>
        <v>12</v>
      </c>
      <c r="Z6" s="8">
        <f t="shared" ref="Z6:Z7" si="4">IF(OR(ISBLANK(F6),F6=""),"",SUM(F6:N6)+SUM(P6:X6))</f>
        <v>25</v>
      </c>
    </row>
    <row r="7" spans="1:26" x14ac:dyDescent="0.2">
      <c r="A7" s="4" t="str" cm="1">
        <f t="array" ref="A7">_xlfn.CONCAT(INDEX(PlayerNames,SUMPRODUCT((PlayerPlayerNo=((ROUNDUP((ROW()-3.5)/4,0))+((VALUE(RIGHT($A$1,1))-1)*4)))*ROW(PlayerNames))-1)," Net")</f>
        <v>John Allen Net</v>
      </c>
      <c r="B7" s="4"/>
      <c r="C7" s="4"/>
      <c r="D7" s="4"/>
      <c r="E7" s="4"/>
      <c r="F7" s="8">
        <f t="shared" ref="F7:N7" si="5">IF(F5-F6&gt;0,F5-F6,"")</f>
        <v>3</v>
      </c>
      <c r="G7" s="8">
        <f t="shared" si="5"/>
        <v>4</v>
      </c>
      <c r="H7" s="8">
        <f t="shared" si="5"/>
        <v>4</v>
      </c>
      <c r="I7" s="8">
        <f t="shared" si="5"/>
        <v>3</v>
      </c>
      <c r="J7" s="8">
        <f t="shared" si="5"/>
        <v>3</v>
      </c>
      <c r="K7" s="8">
        <f t="shared" si="5"/>
        <v>4</v>
      </c>
      <c r="L7" s="8">
        <f t="shared" si="5"/>
        <v>4</v>
      </c>
      <c r="M7" s="8">
        <f t="shared" si="5"/>
        <v>4</v>
      </c>
      <c r="N7" s="8">
        <f t="shared" si="5"/>
        <v>4</v>
      </c>
      <c r="O7" s="8">
        <f t="shared" si="1"/>
        <v>33</v>
      </c>
      <c r="P7" s="8">
        <f t="shared" ref="P7:X7" si="6">IF(P5-P6&gt;0,P5-P6,"")</f>
        <v>7</v>
      </c>
      <c r="Q7" s="8">
        <f t="shared" si="6"/>
        <v>2</v>
      </c>
      <c r="R7" s="8">
        <f t="shared" si="6"/>
        <v>5</v>
      </c>
      <c r="S7" s="8">
        <f t="shared" si="6"/>
        <v>3</v>
      </c>
      <c r="T7" s="8">
        <f t="shared" si="6"/>
        <v>2</v>
      </c>
      <c r="U7" s="8">
        <f t="shared" si="6"/>
        <v>5</v>
      </c>
      <c r="V7" s="8">
        <f t="shared" si="6"/>
        <v>4</v>
      </c>
      <c r="W7" s="8">
        <f t="shared" si="6"/>
        <v>2</v>
      </c>
      <c r="X7" s="8">
        <f t="shared" si="6"/>
        <v>6</v>
      </c>
      <c r="Y7" s="8">
        <f t="shared" si="3"/>
        <v>36</v>
      </c>
      <c r="Z7" s="8">
        <f t="shared" si="4"/>
        <v>69</v>
      </c>
    </row>
    <row r="8" spans="1:26" x14ac:dyDescent="0.2">
      <c r="A8" s="4" t="str" cm="1">
        <f t="array" ref="A8">INDEX(PlayerNames,SUMPRODUCT((PlayerPlayerNo=(ROUNDUP((ROW()-3.5)/4,0)+((VALUE(RIGHT($A$1,1))-1)*4)))*ROW(PlayerNames))-1)</f>
        <v>Pete Friesen</v>
      </c>
      <c r="B8" s="4" t="str" cm="1">
        <f t="array" ref="B8">INDEX(PlayerTees,SUMPRODUCT((PlayerPlayerNo=((ROUNDUP((ROW()-3.5)/4,0))+((VALUE(RIGHT($A$1,1))-1)*4)))*ROW(PlayerNames))-1)</f>
        <v>Gold/Green</v>
      </c>
      <c r="C8" s="4" cm="1">
        <f t="array" ref="C8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30</v>
      </c>
      <c r="D8" s="4" cm="1">
        <f t="array" ref="D8">IF(C8="","",IF(C8=0,0,IF(INDEX(PlayerGender,SUMPRODUCT((PlayerPlayerNo=(ROUNDUP((ROW()-3.5)/4,0)+((VALUE(RIGHT($A$1,1))-1)*4)))*ROW(PlayerGender))-1)="M",ROUND((C8*(HLOOKUP(B8,MensTees,2,FALSE)/113))+(HLOOKUP(B8,MensTees,3,FALSE)-HLOOKUP(B8,MensTees,4,FALSE)),0),ROUND((C8*(HLOOKUP(B8,WomensTees,2,FALSE)/113))+(HLOOKUP(B8,WomensTees,3,FALSE)-HLOOKUP(B8,WomensTees,4,FALSE)),0))))</f>
        <v>27</v>
      </c>
      <c r="E8" s="4">
        <f>IF(A9 = "Solo",D8,ROUND(D8*HandicapAllowance,0))</f>
        <v>24</v>
      </c>
      <c r="F8" s="5" cm="1">
        <f t="array" ref="F8">IF($C8="","",IF(INDEX(PlayerGender,SUMPRODUCT((PlayerPlayerNo=(ROUNDUP((ROW()-3.5)/4,0)+((VALUE(RIGHT($A$1,1))-1)*4)))*ROW(PlayerGender))-1)="M",INDEX(HoleHandicapM,F$2,0),INDEX(HoleHandicapF,F$2,0)))</f>
        <v>9</v>
      </c>
      <c r="G8" s="5" cm="1">
        <f t="array" ref="G8">IF($C8="","",IF(INDEX(PlayerGender,SUMPRODUCT((PlayerPlayerNo=(ROUNDUP((ROW()-3.5)/4,0)+((VALUE(RIGHT($A$1,1))-1)*4)))*ROW(PlayerGender))-1)="M",INDEX(HoleHandicapM,G$2,0),INDEX(HoleHandicapF,G$2,0)))</f>
        <v>3</v>
      </c>
      <c r="H8" s="5" cm="1">
        <f t="array" ref="H8">IF($C8="","",IF(INDEX(PlayerGender,SUMPRODUCT((PlayerPlayerNo=(ROUNDUP((ROW()-3.5)/4,0)+((VALUE(RIGHT($A$1,1))-1)*4)))*ROW(PlayerGender))-1)="M",INDEX(HoleHandicapM,H$2,0),INDEX(HoleHandicapF,H$2,0)))</f>
        <v>7</v>
      </c>
      <c r="I8" s="5" cm="1">
        <f t="array" ref="I8">IF($C8="","",IF(INDEX(PlayerGender,SUMPRODUCT((PlayerPlayerNo=(ROUNDUP((ROW()-3.5)/4,0)+((VALUE(RIGHT($A$1,1))-1)*4)))*ROW(PlayerGender))-1)="M",INDEX(HoleHandicapM,I$2,0),INDEX(HoleHandicapF,I$2,0)))</f>
        <v>17</v>
      </c>
      <c r="J8" s="5" cm="1">
        <f t="array" ref="J8">IF($C8="","",IF(INDEX(PlayerGender,SUMPRODUCT((PlayerPlayerNo=(ROUNDUP((ROW()-3.5)/4,0)+((VALUE(RIGHT($A$1,1))-1)*4)))*ROW(PlayerGender))-1)="M",INDEX(HoleHandicapM,J$2,0),INDEX(HoleHandicapF,J$2,0)))</f>
        <v>13</v>
      </c>
      <c r="K8" s="5" cm="1">
        <f t="array" ref="K8">IF($C8="","",IF(INDEX(PlayerGender,SUMPRODUCT((PlayerPlayerNo=(ROUNDUP((ROW()-3.5)/4,0)+((VALUE(RIGHT($A$1,1))-1)*4)))*ROW(PlayerGender))-1)="M",INDEX(HoleHandicapM,K$2,0),INDEX(HoleHandicapF,K$2,0)))</f>
        <v>1</v>
      </c>
      <c r="L8" s="5" cm="1">
        <f t="array" ref="L8">IF($C8="","",IF(INDEX(PlayerGender,SUMPRODUCT((PlayerPlayerNo=(ROUNDUP((ROW()-3.5)/4,0)+((VALUE(RIGHT($A$1,1))-1)*4)))*ROW(PlayerGender))-1)="M",INDEX(HoleHandicapM,L$2,0),INDEX(HoleHandicapF,L$2,0)))</f>
        <v>15</v>
      </c>
      <c r="M8" s="5" cm="1">
        <f t="array" ref="M8">IF($C8="","",IF(INDEX(PlayerGender,SUMPRODUCT((PlayerPlayerNo=(ROUNDUP((ROW()-3.5)/4,0)+((VALUE(RIGHT($A$1,1))-1)*4)))*ROW(PlayerGender))-1)="M",INDEX(HoleHandicapM,M$2,0),INDEX(HoleHandicapF,M$2,0)))</f>
        <v>11</v>
      </c>
      <c r="N8" s="5" cm="1">
        <f t="array" ref="N8">IF($C8="","",IF(INDEX(PlayerGender,SUMPRODUCT((PlayerPlayerNo=(ROUNDUP((ROW()-3.5)/4,0)+((VALUE(RIGHT($A$1,1))-1)*4)))*ROW(PlayerGender))-1)="M",INDEX(HoleHandicapM,N$2,0),INDEX(HoleHandicapF,N$2,0)))</f>
        <v>5</v>
      </c>
      <c r="P8" s="5" cm="1">
        <f t="array" ref="P8">IF($C8="","",IF(INDEX(PlayerGender,SUMPRODUCT((PlayerPlayerNo=(ROUNDUP((ROW()-3.5)/4,0)+((VALUE(RIGHT($A$1,1))-1)*4)))*ROW(PlayerGender))-1)="M",INDEX(HoleHandicapM,P$2,0),INDEX(HoleHandicapF,P$2,0)))</f>
        <v>10</v>
      </c>
      <c r="Q8" s="5" cm="1">
        <f t="array" ref="Q8">IF($C8="","",IF(INDEX(PlayerGender,SUMPRODUCT((PlayerPlayerNo=(ROUNDUP((ROW()-3.5)/4,0)+((VALUE(RIGHT($A$1,1))-1)*4)))*ROW(PlayerGender))-1)="M",INDEX(HoleHandicapM,Q$2,0),INDEX(HoleHandicapF,Q$2,0)))</f>
        <v>4</v>
      </c>
      <c r="R8" s="5" cm="1">
        <f t="array" ref="R8">IF($C8="","",IF(INDEX(PlayerGender,SUMPRODUCT((PlayerPlayerNo=(ROUNDUP((ROW()-3.5)/4,0)+((VALUE(RIGHT($A$1,1))-1)*4)))*ROW(PlayerGender))-1)="M",INDEX(HoleHandicapM,R$2,0),INDEX(HoleHandicapF,R$2,0)))</f>
        <v>8</v>
      </c>
      <c r="S8" s="5" cm="1">
        <f t="array" ref="S8">IF($C8="","",IF(INDEX(PlayerGender,SUMPRODUCT((PlayerPlayerNo=(ROUNDUP((ROW()-3.5)/4,0)+((VALUE(RIGHT($A$1,1))-1)*4)))*ROW(PlayerGender))-1)="M",INDEX(HoleHandicapM,S$2,0),INDEX(HoleHandicapF,S$2,0)))</f>
        <v>16</v>
      </c>
      <c r="T8" s="5" cm="1">
        <f t="array" ref="T8">IF($C8="","",IF(INDEX(PlayerGender,SUMPRODUCT((PlayerPlayerNo=(ROUNDUP((ROW()-3.5)/4,0)+((VALUE(RIGHT($A$1,1))-1)*4)))*ROW(PlayerGender))-1)="M",INDEX(HoleHandicapM,T$2,0),INDEX(HoleHandicapF,T$2,0)))</f>
        <v>18</v>
      </c>
      <c r="U8" s="5" cm="1">
        <f t="array" ref="U8">IF($C8="","",IF(INDEX(PlayerGender,SUMPRODUCT((PlayerPlayerNo=(ROUNDUP((ROW()-3.5)/4,0)+((VALUE(RIGHT($A$1,1))-1)*4)))*ROW(PlayerGender))-1)="M",INDEX(HoleHandicapM,U$2,0),INDEX(HoleHandicapF,U$2,0)))</f>
        <v>2</v>
      </c>
      <c r="V8" s="5" cm="1">
        <f t="array" ref="V8">IF($C8="","",IF(INDEX(PlayerGender,SUMPRODUCT((PlayerPlayerNo=(ROUNDUP((ROW()-3.5)/4,0)+((VALUE(RIGHT($A$1,1))-1)*4)))*ROW(PlayerGender))-1)="M",INDEX(HoleHandicapM,V$2,0),INDEX(HoleHandicapF,V$2,0)))</f>
        <v>14</v>
      </c>
      <c r="W8" s="5" cm="1">
        <f t="array" ref="W8">IF($C8="","",IF(INDEX(PlayerGender,SUMPRODUCT((PlayerPlayerNo=(ROUNDUP((ROW()-3.5)/4,0)+((VALUE(RIGHT($A$1,1))-1)*4)))*ROW(PlayerGender))-1)="M",INDEX(HoleHandicapM,W$2,0),INDEX(HoleHandicapF,W$2,0)))</f>
        <v>12</v>
      </c>
      <c r="X8" s="5" cm="1">
        <f t="array" ref="X8">IF($C8="","",IF(INDEX(PlayerGender,SUMPRODUCT((PlayerPlayerNo=(ROUNDUP((ROW()-3.5)/4,0)+((VALUE(RIGHT($A$1,1))-1)*4)))*ROW(PlayerGender))-1)="M",INDEX(HoleHandicapM,X$2,0),INDEX(HoleHandicapF,X$2,0)))</f>
        <v>6</v>
      </c>
      <c r="Y8" s="5"/>
      <c r="Z8" s="4"/>
    </row>
    <row r="9" spans="1:26" x14ac:dyDescent="0.2">
      <c r="A9" s="4" t="str" cm="1">
        <f t="array" ref="A9">_xlfn.CONCAT(INDEX(PlayerNames,SUMPRODUCT((PlayerPlayerNo=(ROUNDUP((ROW()-3.5)/4,0)+((VALUE(RIGHT($A$1,1))-1)*4)))*ROW(PlayerNames))-1)," Gross")</f>
        <v>Pete Friesen Gross</v>
      </c>
      <c r="B9" s="4"/>
      <c r="C9" s="4"/>
      <c r="D9" s="4"/>
      <c r="E9" s="4"/>
      <c r="F9" s="4">
        <v>5</v>
      </c>
      <c r="G9" s="4">
        <v>9</v>
      </c>
      <c r="H9" s="4">
        <v>8</v>
      </c>
      <c r="I9" s="4">
        <v>6</v>
      </c>
      <c r="J9" s="4">
        <v>5</v>
      </c>
      <c r="K9" s="4">
        <v>6</v>
      </c>
      <c r="L9" s="4">
        <v>7</v>
      </c>
      <c r="M9" s="4">
        <v>6</v>
      </c>
      <c r="N9" s="4">
        <v>9</v>
      </c>
      <c r="O9" s="8">
        <f>IF(SUM(F9:N9)&gt;0,SUM(F9:N9),"")</f>
        <v>61</v>
      </c>
      <c r="P9" s="4">
        <v>8</v>
      </c>
      <c r="Q9" s="4">
        <v>8</v>
      </c>
      <c r="R9" s="4">
        <v>8</v>
      </c>
      <c r="S9" s="4">
        <v>6</v>
      </c>
      <c r="T9" s="4">
        <v>7</v>
      </c>
      <c r="U9" s="4">
        <v>5</v>
      </c>
      <c r="V9" s="4">
        <v>6</v>
      </c>
      <c r="W9" s="4">
        <v>6</v>
      </c>
      <c r="X9" s="4">
        <v>9</v>
      </c>
      <c r="Y9" s="8">
        <f>IF(SUM(P9:X9)&gt;0,SUM(P9:X9),"")</f>
        <v>63</v>
      </c>
      <c r="Z9" s="8">
        <f>IF((SUM(F9:N9)+SUM(P9:X9))&gt;0,SUM(F9:N9)+SUM(P9:X9),"")</f>
        <v>124</v>
      </c>
    </row>
    <row r="10" spans="1:26" x14ac:dyDescent="0.2">
      <c r="A10" s="4" t="str" cm="1">
        <f t="array" ref="A10">_xlfn.CONCAT(INDEX(PlayerNames,SUMPRODUCT((PlayerPlayerNo=((ROUNDUP((ROW()-3.5)/4,0))+((VALUE(RIGHT($A$1,1))-1)*4)))*ROW(PlayerNames))-1)," Handicap Strokes")</f>
        <v>Pete Friesen Handicap Strokes</v>
      </c>
      <c r="B10" s="4"/>
      <c r="C10" s="4"/>
      <c r="D10" s="4"/>
      <c r="E10" s="4"/>
      <c r="F10" s="8">
        <f>ROUNDDOWN($E8/18,0)+IF(MOD($E8,18)&gt;=F8,1,0)</f>
        <v>1</v>
      </c>
      <c r="G10" s="8">
        <f t="shared" ref="G10:N10" si="7">ROUNDDOWN($E8/18,0)+IF(MOD($E8,18)&gt;=G8,1,0)</f>
        <v>2</v>
      </c>
      <c r="H10" s="8">
        <f t="shared" si="7"/>
        <v>1</v>
      </c>
      <c r="I10" s="8">
        <f t="shared" si="7"/>
        <v>1</v>
      </c>
      <c r="J10" s="8">
        <f t="shared" si="7"/>
        <v>1</v>
      </c>
      <c r="K10" s="8">
        <f t="shared" si="7"/>
        <v>2</v>
      </c>
      <c r="L10" s="8">
        <f t="shared" si="7"/>
        <v>1</v>
      </c>
      <c r="M10" s="8">
        <f t="shared" si="7"/>
        <v>1</v>
      </c>
      <c r="N10" s="8">
        <f t="shared" si="7"/>
        <v>2</v>
      </c>
      <c r="O10" s="8">
        <f t="shared" ref="O10:O11" si="8">IF(OR(ISBLANK(F10),F10=""),"",SUM(F10:N10))</f>
        <v>12</v>
      </c>
      <c r="P10" s="8">
        <f t="shared" ref="P10:X10" si="9">ROUNDDOWN($E8/18,0)+IF(MOD($E8,18)&gt;=P8,1,0)</f>
        <v>1</v>
      </c>
      <c r="Q10" s="8">
        <f t="shared" si="9"/>
        <v>2</v>
      </c>
      <c r="R10" s="8">
        <f t="shared" si="9"/>
        <v>1</v>
      </c>
      <c r="S10" s="8">
        <f t="shared" si="9"/>
        <v>1</v>
      </c>
      <c r="T10" s="8">
        <f t="shared" si="9"/>
        <v>1</v>
      </c>
      <c r="U10" s="8">
        <f t="shared" si="9"/>
        <v>2</v>
      </c>
      <c r="V10" s="8">
        <f t="shared" si="9"/>
        <v>1</v>
      </c>
      <c r="W10" s="8">
        <f t="shared" si="9"/>
        <v>1</v>
      </c>
      <c r="X10" s="8">
        <f t="shared" si="9"/>
        <v>2</v>
      </c>
      <c r="Y10" s="8">
        <f t="shared" ref="Y10:Y11" si="10">IF(OR(ISBLANK(P10),P10=""),"",SUM(P10:X10))</f>
        <v>12</v>
      </c>
      <c r="Z10" s="8">
        <f t="shared" ref="Z10:Z11" si="11">IF(OR(ISBLANK(F10),F10=""),"",SUM(F10:N10)+SUM(P10:X10))</f>
        <v>24</v>
      </c>
    </row>
    <row r="11" spans="1:26" x14ac:dyDescent="0.2">
      <c r="A11" s="4" t="str" cm="1">
        <f t="array" ref="A11">_xlfn.CONCAT(INDEX(PlayerNames,SUMPRODUCT((PlayerPlayerNo=((ROUNDUP((ROW()-3.5)/4,0))+((VALUE(RIGHT($A$1,1))-1)*4)))*ROW(PlayerNames))-1)," Net")</f>
        <v>Pete Friesen Net</v>
      </c>
      <c r="B11" s="4"/>
      <c r="C11" s="4"/>
      <c r="D11" s="4"/>
      <c r="E11" s="4"/>
      <c r="F11" s="8">
        <f t="shared" ref="F11:N11" si="12">IF(F9-F10&gt;0,F9-F10,"")</f>
        <v>4</v>
      </c>
      <c r="G11" s="8">
        <f t="shared" si="12"/>
        <v>7</v>
      </c>
      <c r="H11" s="8">
        <f t="shared" si="12"/>
        <v>7</v>
      </c>
      <c r="I11" s="8">
        <f t="shared" si="12"/>
        <v>5</v>
      </c>
      <c r="J11" s="8">
        <f t="shared" si="12"/>
        <v>4</v>
      </c>
      <c r="K11" s="8">
        <f t="shared" si="12"/>
        <v>4</v>
      </c>
      <c r="L11" s="8">
        <f t="shared" si="12"/>
        <v>6</v>
      </c>
      <c r="M11" s="8">
        <f t="shared" si="12"/>
        <v>5</v>
      </c>
      <c r="N11" s="8">
        <f t="shared" si="12"/>
        <v>7</v>
      </c>
      <c r="O11" s="8">
        <f t="shared" si="8"/>
        <v>49</v>
      </c>
      <c r="P11" s="8">
        <f t="shared" ref="P11:X11" si="13">IF(P9-P10&gt;0,P9-P10,"")</f>
        <v>7</v>
      </c>
      <c r="Q11" s="8">
        <f t="shared" si="13"/>
        <v>6</v>
      </c>
      <c r="R11" s="8">
        <f t="shared" si="13"/>
        <v>7</v>
      </c>
      <c r="S11" s="8">
        <f t="shared" si="13"/>
        <v>5</v>
      </c>
      <c r="T11" s="8">
        <f t="shared" si="13"/>
        <v>6</v>
      </c>
      <c r="U11" s="8">
        <f t="shared" si="13"/>
        <v>3</v>
      </c>
      <c r="V11" s="8">
        <f t="shared" si="13"/>
        <v>5</v>
      </c>
      <c r="W11" s="8">
        <f t="shared" si="13"/>
        <v>5</v>
      </c>
      <c r="X11" s="8">
        <f t="shared" si="13"/>
        <v>7</v>
      </c>
      <c r="Y11" s="8">
        <f t="shared" si="10"/>
        <v>51</v>
      </c>
      <c r="Z11" s="8">
        <f t="shared" si="11"/>
        <v>100</v>
      </c>
    </row>
    <row r="12" spans="1:26" x14ac:dyDescent="0.2">
      <c r="A12" s="4" t="str" cm="1">
        <f t="array" ref="A12">INDEX(PlayerNames,SUMPRODUCT((PlayerPlayerNo=(ROUNDUP((ROW()-3.5)/4,0)+((VALUE(RIGHT($A$1,1))-1)*4)))*ROW(PlayerNames))-1)</f>
        <v>Patrick Calhoun</v>
      </c>
      <c r="B12" s="4" t="str" cm="1">
        <f t="array" ref="B12">INDEX(PlayerTees,SUMPRODUCT((PlayerPlayerNo=((ROUNDUP((ROW()-3.5)/4,0))+((VALUE(RIGHT($A$1,1))-1)*4)))*ROW(PlayerNames))-1)</f>
        <v>Blue</v>
      </c>
      <c r="C12" s="4" cm="1">
        <f t="array" ref="C12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5.0999999999999996</v>
      </c>
      <c r="D12" s="4" cm="1">
        <f t="array" ref="D12">IF(C12="","",IF(C12=0,0,IF(INDEX(PlayerGender,SUMPRODUCT((PlayerPlayerNo=(ROUNDUP((ROW()-3.5)/4,0)+((VALUE(RIGHT($A$1,1))-1)*4)))*ROW(PlayerGender))-1)="M",ROUND((C12*(HLOOKUP(B12,MensTees,2,FALSE)/113))+(HLOOKUP(B12,MensTees,3,FALSE)-HLOOKUP(B12,MensTees,4,FALSE)),0),ROUND((C12*(HLOOKUP(B12,WomensTees,2,FALSE)/113))+(HLOOKUP(B12,WomensTees,3,FALSE)-HLOOKUP(B12,WomensTees,4,FALSE)),0))))</f>
        <v>5</v>
      </c>
      <c r="E12" s="4">
        <f>IF(A13 = "Solo",D12,ROUND(D12*HandicapAllowance,0))</f>
        <v>5</v>
      </c>
      <c r="F12" s="5" cm="1">
        <f t="array" ref="F12">IF($C12="","",IF(INDEX(PlayerGender,SUMPRODUCT((PlayerPlayerNo=(ROUNDUP((ROW()-3.5)/4,0)+((VALUE(RIGHT($A$1,1))-1)*4)))*ROW(PlayerGender))-1)="M",INDEX(HoleHandicapM,F$2,0),INDEX(HoleHandicapF,F$2,0)))</f>
        <v>9</v>
      </c>
      <c r="G12" s="5" cm="1">
        <f t="array" ref="G12">IF($C12="","",IF(INDEX(PlayerGender,SUMPRODUCT((PlayerPlayerNo=(ROUNDUP((ROW()-3.5)/4,0)+((VALUE(RIGHT($A$1,1))-1)*4)))*ROW(PlayerGender))-1)="M",INDEX(HoleHandicapM,G$2,0),INDEX(HoleHandicapF,G$2,0)))</f>
        <v>3</v>
      </c>
      <c r="H12" s="5" cm="1">
        <f t="array" ref="H12">IF($C12="","",IF(INDEX(PlayerGender,SUMPRODUCT((PlayerPlayerNo=(ROUNDUP((ROW()-3.5)/4,0)+((VALUE(RIGHT($A$1,1))-1)*4)))*ROW(PlayerGender))-1)="M",INDEX(HoleHandicapM,H$2,0),INDEX(HoleHandicapF,H$2,0)))</f>
        <v>7</v>
      </c>
      <c r="I12" s="5" cm="1">
        <f t="array" ref="I12">IF($C12="","",IF(INDEX(PlayerGender,SUMPRODUCT((PlayerPlayerNo=(ROUNDUP((ROW()-3.5)/4,0)+((VALUE(RIGHT($A$1,1))-1)*4)))*ROW(PlayerGender))-1)="M",INDEX(HoleHandicapM,I$2,0),INDEX(HoleHandicapF,I$2,0)))</f>
        <v>17</v>
      </c>
      <c r="J12" s="5" cm="1">
        <f t="array" ref="J12">IF($C12="","",IF(INDEX(PlayerGender,SUMPRODUCT((PlayerPlayerNo=(ROUNDUP((ROW()-3.5)/4,0)+((VALUE(RIGHT($A$1,1))-1)*4)))*ROW(PlayerGender))-1)="M",INDEX(HoleHandicapM,J$2,0),INDEX(HoleHandicapF,J$2,0)))</f>
        <v>13</v>
      </c>
      <c r="K12" s="5" cm="1">
        <f t="array" ref="K12">IF($C12="","",IF(INDEX(PlayerGender,SUMPRODUCT((PlayerPlayerNo=(ROUNDUP((ROW()-3.5)/4,0)+((VALUE(RIGHT($A$1,1))-1)*4)))*ROW(PlayerGender))-1)="M",INDEX(HoleHandicapM,K$2,0),INDEX(HoleHandicapF,K$2,0)))</f>
        <v>1</v>
      </c>
      <c r="L12" s="5" cm="1">
        <f t="array" ref="L12">IF($C12="","",IF(INDEX(PlayerGender,SUMPRODUCT((PlayerPlayerNo=(ROUNDUP((ROW()-3.5)/4,0)+((VALUE(RIGHT($A$1,1))-1)*4)))*ROW(PlayerGender))-1)="M",INDEX(HoleHandicapM,L$2,0),INDEX(HoleHandicapF,L$2,0)))</f>
        <v>15</v>
      </c>
      <c r="M12" s="5" cm="1">
        <f t="array" ref="M12">IF($C12="","",IF(INDEX(PlayerGender,SUMPRODUCT((PlayerPlayerNo=(ROUNDUP((ROW()-3.5)/4,0)+((VALUE(RIGHT($A$1,1))-1)*4)))*ROW(PlayerGender))-1)="M",INDEX(HoleHandicapM,M$2,0),INDEX(HoleHandicapF,M$2,0)))</f>
        <v>11</v>
      </c>
      <c r="N12" s="5" cm="1">
        <f t="array" ref="N12">IF($C12="","",IF(INDEX(PlayerGender,SUMPRODUCT((PlayerPlayerNo=(ROUNDUP((ROW()-3.5)/4,0)+((VALUE(RIGHT($A$1,1))-1)*4)))*ROW(PlayerGender))-1)="M",INDEX(HoleHandicapM,N$2,0),INDEX(HoleHandicapF,N$2,0)))</f>
        <v>5</v>
      </c>
      <c r="P12" s="5" cm="1">
        <f t="array" ref="P12">IF($C12="","",IF(INDEX(PlayerGender,SUMPRODUCT((PlayerPlayerNo=(ROUNDUP((ROW()-3.5)/4,0)+((VALUE(RIGHT($A$1,1))-1)*4)))*ROW(PlayerGender))-1)="M",INDEX(HoleHandicapM,P$2,0),INDEX(HoleHandicapF,P$2,0)))</f>
        <v>10</v>
      </c>
      <c r="Q12" s="5" cm="1">
        <f t="array" ref="Q12">IF($C12="","",IF(INDEX(PlayerGender,SUMPRODUCT((PlayerPlayerNo=(ROUNDUP((ROW()-3.5)/4,0)+((VALUE(RIGHT($A$1,1))-1)*4)))*ROW(PlayerGender))-1)="M",INDEX(HoleHandicapM,Q$2,0),INDEX(HoleHandicapF,Q$2,0)))</f>
        <v>4</v>
      </c>
      <c r="R12" s="5" cm="1">
        <f t="array" ref="R12">IF($C12="","",IF(INDEX(PlayerGender,SUMPRODUCT((PlayerPlayerNo=(ROUNDUP((ROW()-3.5)/4,0)+((VALUE(RIGHT($A$1,1))-1)*4)))*ROW(PlayerGender))-1)="M",INDEX(HoleHandicapM,R$2,0),INDEX(HoleHandicapF,R$2,0)))</f>
        <v>8</v>
      </c>
      <c r="S12" s="5" cm="1">
        <f t="array" ref="S12">IF($C12="","",IF(INDEX(PlayerGender,SUMPRODUCT((PlayerPlayerNo=(ROUNDUP((ROW()-3.5)/4,0)+((VALUE(RIGHT($A$1,1))-1)*4)))*ROW(PlayerGender))-1)="M",INDEX(HoleHandicapM,S$2,0),INDEX(HoleHandicapF,S$2,0)))</f>
        <v>16</v>
      </c>
      <c r="T12" s="5" cm="1">
        <f t="array" ref="T12">IF($C12="","",IF(INDEX(PlayerGender,SUMPRODUCT((PlayerPlayerNo=(ROUNDUP((ROW()-3.5)/4,0)+((VALUE(RIGHT($A$1,1))-1)*4)))*ROW(PlayerGender))-1)="M",INDEX(HoleHandicapM,T$2,0),INDEX(HoleHandicapF,T$2,0)))</f>
        <v>18</v>
      </c>
      <c r="U12" s="5" cm="1">
        <f t="array" ref="U12">IF($C12="","",IF(INDEX(PlayerGender,SUMPRODUCT((PlayerPlayerNo=(ROUNDUP((ROW()-3.5)/4,0)+((VALUE(RIGHT($A$1,1))-1)*4)))*ROW(PlayerGender))-1)="M",INDEX(HoleHandicapM,U$2,0),INDEX(HoleHandicapF,U$2,0)))</f>
        <v>2</v>
      </c>
      <c r="V12" s="5" cm="1">
        <f t="array" ref="V12">IF($C12="","",IF(INDEX(PlayerGender,SUMPRODUCT((PlayerPlayerNo=(ROUNDUP((ROW()-3.5)/4,0)+((VALUE(RIGHT($A$1,1))-1)*4)))*ROW(PlayerGender))-1)="M",INDEX(HoleHandicapM,V$2,0),INDEX(HoleHandicapF,V$2,0)))</f>
        <v>14</v>
      </c>
      <c r="W12" s="5" cm="1">
        <f t="array" ref="W12">IF($C12="","",IF(INDEX(PlayerGender,SUMPRODUCT((PlayerPlayerNo=(ROUNDUP((ROW()-3.5)/4,0)+((VALUE(RIGHT($A$1,1))-1)*4)))*ROW(PlayerGender))-1)="M",INDEX(HoleHandicapM,W$2,0),INDEX(HoleHandicapF,W$2,0)))</f>
        <v>12</v>
      </c>
      <c r="X12" s="5" cm="1">
        <f t="array" ref="X12">IF($C12="","",IF(INDEX(PlayerGender,SUMPRODUCT((PlayerPlayerNo=(ROUNDUP((ROW()-3.5)/4,0)+((VALUE(RIGHT($A$1,1))-1)*4)))*ROW(PlayerGender))-1)="M",INDEX(HoleHandicapM,X$2,0),INDEX(HoleHandicapF,X$2,0)))</f>
        <v>6</v>
      </c>
      <c r="Y12" s="5"/>
      <c r="Z12" s="4"/>
    </row>
    <row r="13" spans="1:26" x14ac:dyDescent="0.2">
      <c r="A13" s="4" t="str" cm="1">
        <f t="array" ref="A13">_xlfn.CONCAT(INDEX(PlayerNames,SUMPRODUCT((PlayerPlayerNo=(ROUNDUP((ROW()-3.5)/4,0)+((VALUE(RIGHT($A$1,1))-1)*4)))*ROW(PlayerNames))-1)," Gross")</f>
        <v>Patrick Calhoun Gross</v>
      </c>
      <c r="B13" s="4"/>
      <c r="C13" s="4"/>
      <c r="D13" s="4"/>
      <c r="E13" s="4"/>
      <c r="F13" s="4">
        <v>4</v>
      </c>
      <c r="G13" s="4">
        <v>6</v>
      </c>
      <c r="H13" s="4">
        <v>4</v>
      </c>
      <c r="I13" s="4">
        <v>4</v>
      </c>
      <c r="J13" s="4">
        <v>3</v>
      </c>
      <c r="K13" s="4">
        <v>4</v>
      </c>
      <c r="L13" s="4">
        <v>4</v>
      </c>
      <c r="M13" s="4">
        <v>4</v>
      </c>
      <c r="N13" s="4">
        <v>6</v>
      </c>
      <c r="O13" s="8">
        <f>IF(SUM(F13:N13)&gt;0,SUM(F13:N13),"")</f>
        <v>39</v>
      </c>
      <c r="P13" s="4">
        <v>5</v>
      </c>
      <c r="Q13" s="4">
        <v>4</v>
      </c>
      <c r="R13" s="4">
        <v>6</v>
      </c>
      <c r="S13" s="4">
        <v>2</v>
      </c>
      <c r="T13" s="4">
        <v>4</v>
      </c>
      <c r="U13" s="4">
        <v>5</v>
      </c>
      <c r="V13" s="4">
        <v>4</v>
      </c>
      <c r="W13" s="4">
        <v>3</v>
      </c>
      <c r="X13" s="4">
        <v>5</v>
      </c>
      <c r="Y13" s="8">
        <f>IF(SUM(P13:X13)&gt;0,SUM(P13:X13),"")</f>
        <v>38</v>
      </c>
      <c r="Z13" s="8">
        <f>IF((SUM(F13:N13)+SUM(P13:X13))&gt;0,SUM(F13:N13)+SUM(P13:X13),"")</f>
        <v>77</v>
      </c>
    </row>
    <row r="14" spans="1:26" x14ac:dyDescent="0.2">
      <c r="A14" s="4" t="str" cm="1">
        <f t="array" ref="A14">_xlfn.CONCAT(INDEX(PlayerNames,SUMPRODUCT((PlayerPlayerNo=((ROUNDUP((ROW()-3.5)/4,0))+((VALUE(RIGHT($A$1,1))-1)*4)))*ROW(PlayerNames))-1)," Handicap Strokes")</f>
        <v>Patrick Calhoun Handicap Strokes</v>
      </c>
      <c r="B14" s="4"/>
      <c r="C14" s="4"/>
      <c r="D14" s="4"/>
      <c r="E14" s="4"/>
      <c r="F14" s="8">
        <f>ROUNDDOWN($E12/18,0)+IF(MOD($E12,18)&gt;=F12,1,0)</f>
        <v>0</v>
      </c>
      <c r="G14" s="8">
        <f t="shared" ref="G14:N14" si="14">ROUNDDOWN($E12/18,0)+IF(MOD($E12,18)&gt;=G12,1,0)</f>
        <v>1</v>
      </c>
      <c r="H14" s="8">
        <f t="shared" si="14"/>
        <v>0</v>
      </c>
      <c r="I14" s="8">
        <f t="shared" si="14"/>
        <v>0</v>
      </c>
      <c r="J14" s="8">
        <f t="shared" si="14"/>
        <v>0</v>
      </c>
      <c r="K14" s="8">
        <f t="shared" si="14"/>
        <v>1</v>
      </c>
      <c r="L14" s="8">
        <f t="shared" si="14"/>
        <v>0</v>
      </c>
      <c r="M14" s="8">
        <f t="shared" si="14"/>
        <v>0</v>
      </c>
      <c r="N14" s="8">
        <f t="shared" si="14"/>
        <v>1</v>
      </c>
      <c r="O14" s="8">
        <f t="shared" ref="O14:O15" si="15">IF(OR(ISBLANK(F14),F14=""),"",SUM(F14:N14))</f>
        <v>3</v>
      </c>
      <c r="P14" s="8">
        <f t="shared" ref="P14:X14" si="16">ROUNDDOWN($E12/18,0)+IF(MOD($E12,18)&gt;=P12,1,0)</f>
        <v>0</v>
      </c>
      <c r="Q14" s="8">
        <f t="shared" si="16"/>
        <v>1</v>
      </c>
      <c r="R14" s="8">
        <f t="shared" si="16"/>
        <v>0</v>
      </c>
      <c r="S14" s="8">
        <f t="shared" si="16"/>
        <v>0</v>
      </c>
      <c r="T14" s="8">
        <f t="shared" si="16"/>
        <v>0</v>
      </c>
      <c r="U14" s="8">
        <f t="shared" si="16"/>
        <v>1</v>
      </c>
      <c r="V14" s="8">
        <f t="shared" si="16"/>
        <v>0</v>
      </c>
      <c r="W14" s="8">
        <f t="shared" si="16"/>
        <v>0</v>
      </c>
      <c r="X14" s="8">
        <f t="shared" si="16"/>
        <v>0</v>
      </c>
      <c r="Y14" s="8">
        <f t="shared" ref="Y14:Y15" si="17">IF(OR(ISBLANK(P14),P14=""),"",SUM(P14:X14))</f>
        <v>2</v>
      </c>
      <c r="Z14" s="8">
        <f t="shared" ref="Z14:Z15" si="18">IF(OR(ISBLANK(F14),F14=""),"",SUM(F14:N14)+SUM(P14:X14))</f>
        <v>5</v>
      </c>
    </row>
    <row r="15" spans="1:26" x14ac:dyDescent="0.2">
      <c r="A15" s="4" t="str" cm="1">
        <f t="array" ref="A15">_xlfn.CONCAT(INDEX(PlayerNames,SUMPRODUCT((PlayerPlayerNo=((ROUNDUP((ROW()-3.5)/4,0))+((VALUE(RIGHT($A$1,1))-1)*4)))*ROW(PlayerNames))-1)," Net")</f>
        <v>Patrick Calhoun Net</v>
      </c>
      <c r="B15" s="4"/>
      <c r="C15" s="4"/>
      <c r="D15" s="4"/>
      <c r="E15" s="4"/>
      <c r="F15" s="8">
        <f t="shared" ref="F15:N15" si="19">IF(F13-F14&gt;0,F13-F14,"")</f>
        <v>4</v>
      </c>
      <c r="G15" s="8">
        <f t="shared" si="19"/>
        <v>5</v>
      </c>
      <c r="H15" s="8">
        <f t="shared" si="19"/>
        <v>4</v>
      </c>
      <c r="I15" s="8">
        <f t="shared" si="19"/>
        <v>4</v>
      </c>
      <c r="J15" s="8">
        <f t="shared" si="19"/>
        <v>3</v>
      </c>
      <c r="K15" s="8">
        <f t="shared" si="19"/>
        <v>3</v>
      </c>
      <c r="L15" s="8">
        <f t="shared" si="19"/>
        <v>4</v>
      </c>
      <c r="M15" s="8">
        <f t="shared" si="19"/>
        <v>4</v>
      </c>
      <c r="N15" s="8">
        <f t="shared" si="19"/>
        <v>5</v>
      </c>
      <c r="O15" s="8">
        <f t="shared" si="15"/>
        <v>36</v>
      </c>
      <c r="P15" s="8">
        <f t="shared" ref="P15:X15" si="20">IF(P13-P14&gt;0,P13-P14,"")</f>
        <v>5</v>
      </c>
      <c r="Q15" s="8">
        <f t="shared" si="20"/>
        <v>3</v>
      </c>
      <c r="R15" s="8">
        <f t="shared" si="20"/>
        <v>6</v>
      </c>
      <c r="S15" s="8">
        <f t="shared" si="20"/>
        <v>2</v>
      </c>
      <c r="T15" s="8">
        <f t="shared" si="20"/>
        <v>4</v>
      </c>
      <c r="U15" s="8">
        <f t="shared" si="20"/>
        <v>4</v>
      </c>
      <c r="V15" s="8">
        <f t="shared" si="20"/>
        <v>4</v>
      </c>
      <c r="W15" s="8">
        <f t="shared" si="20"/>
        <v>3</v>
      </c>
      <c r="X15" s="8">
        <f t="shared" si="20"/>
        <v>5</v>
      </c>
      <c r="Y15" s="8">
        <f t="shared" si="17"/>
        <v>36</v>
      </c>
      <c r="Z15" s="8">
        <f t="shared" si="18"/>
        <v>72</v>
      </c>
    </row>
    <row r="16" spans="1:26" x14ac:dyDescent="0.2">
      <c r="A16" s="4" t="str" cm="1">
        <f t="array" ref="A16">INDEX(PlayerNames,SUMPRODUCT((PlayerPlayerNo=(ROUNDUP((ROW()-3.5)/4,0)+((VALUE(RIGHT($A$1,1))-1)*4)))*ROW(PlayerNames))-1)</f>
        <v>Marcus Fast</v>
      </c>
      <c r="B16" s="4" t="str" cm="1">
        <f t="array" ref="B16">INDEX(PlayerTees,SUMPRODUCT((PlayerPlayerNo=((ROUNDUP((ROW()-3.5)/4,0))+((VALUE(RIGHT($A$1,1))-1)*4)))*ROW(PlayerNames))-1)</f>
        <v>Gold/Green</v>
      </c>
      <c r="C16" s="4" cm="1">
        <f t="array" ref="C16">IF(MaxIndex &gt; 0,MIN(INDEX(PlayerHandicaps,SUMPRODUCT((PlayerPlayerNo=(ROUNDUP((ROW()-3.5)/4,0)+((VALUE(RIGHT($A$1,1))-1)*4)))*ROW(PlayerHandicaps))-1),MaxIndex),INDEX(PlayerHandicaps,SUMPRODUCT((PlayerPlayerNo=(ROUNDUP((ROW()-3.5)/4,0)+((VALUE(RIGHT($A$1,1))-1)*4)))*ROW(PlayerHandicaps))-1))</f>
        <v>30</v>
      </c>
      <c r="D16" s="4" cm="1">
        <f t="array" ref="D16">IF(C16="","",IF(C16=0,0,IF(INDEX(PlayerGender,SUMPRODUCT((PlayerPlayerNo=(ROUNDUP((ROW()-3.5)/4,0)+((VALUE(RIGHT($A$1,1))-1)*4)))*ROW(PlayerGender))-1)="M",ROUND((C16*(HLOOKUP(B16,MensTees,2,FALSE)/113))+(HLOOKUP(B16,MensTees,3,FALSE)-HLOOKUP(B16,MensTees,4,FALSE)),0),ROUND((C16*(HLOOKUP(B16,WomensTees,2,FALSE)/113))+(HLOOKUP(B16,WomensTees,3,FALSE)-HLOOKUP(B16,WomensTees,4,FALSE)),0))))</f>
        <v>27</v>
      </c>
      <c r="E16" s="4">
        <f>IF(A17 = "Solo",D16,ROUND(D16*HandicapAllowance,0))</f>
        <v>24</v>
      </c>
      <c r="F16" s="5" cm="1">
        <f t="array" ref="F16">IF($C16="","",IF(INDEX(PlayerGender,SUMPRODUCT((PlayerPlayerNo=(ROUNDUP((ROW()-3.5)/4,0)+((VALUE(RIGHT($A$1,1))-1)*4)))*ROW(PlayerGender))-1)="M",INDEX(HoleHandicapM,F$2,0),INDEX(HoleHandicapF,F$2,0)))</f>
        <v>9</v>
      </c>
      <c r="G16" s="5" cm="1">
        <f t="array" ref="G16">IF($C16="","",IF(INDEX(PlayerGender,SUMPRODUCT((PlayerPlayerNo=(ROUNDUP((ROW()-3.5)/4,0)+((VALUE(RIGHT($A$1,1))-1)*4)))*ROW(PlayerGender))-1)="M",INDEX(HoleHandicapM,G$2,0),INDEX(HoleHandicapF,G$2,0)))</f>
        <v>3</v>
      </c>
      <c r="H16" s="5" cm="1">
        <f t="array" ref="H16">IF($C16="","",IF(INDEX(PlayerGender,SUMPRODUCT((PlayerPlayerNo=(ROUNDUP((ROW()-3.5)/4,0)+((VALUE(RIGHT($A$1,1))-1)*4)))*ROW(PlayerGender))-1)="M",INDEX(HoleHandicapM,H$2,0),INDEX(HoleHandicapF,H$2,0)))</f>
        <v>7</v>
      </c>
      <c r="I16" s="5" cm="1">
        <f t="array" ref="I16">IF($C16="","",IF(INDEX(PlayerGender,SUMPRODUCT((PlayerPlayerNo=(ROUNDUP((ROW()-3.5)/4,0)+((VALUE(RIGHT($A$1,1))-1)*4)))*ROW(PlayerGender))-1)="M",INDEX(HoleHandicapM,I$2,0),INDEX(HoleHandicapF,I$2,0)))</f>
        <v>17</v>
      </c>
      <c r="J16" s="5" cm="1">
        <f t="array" ref="J16">IF($C16="","",IF(INDEX(PlayerGender,SUMPRODUCT((PlayerPlayerNo=(ROUNDUP((ROW()-3.5)/4,0)+((VALUE(RIGHT($A$1,1))-1)*4)))*ROW(PlayerGender))-1)="M",INDEX(HoleHandicapM,J$2,0),INDEX(HoleHandicapF,J$2,0)))</f>
        <v>13</v>
      </c>
      <c r="K16" s="5" cm="1">
        <f t="array" ref="K16">IF($C16="","",IF(INDEX(PlayerGender,SUMPRODUCT((PlayerPlayerNo=(ROUNDUP((ROW()-3.5)/4,0)+((VALUE(RIGHT($A$1,1))-1)*4)))*ROW(PlayerGender))-1)="M",INDEX(HoleHandicapM,K$2,0),INDEX(HoleHandicapF,K$2,0)))</f>
        <v>1</v>
      </c>
      <c r="L16" s="5" cm="1">
        <f t="array" ref="L16">IF($C16="","",IF(INDEX(PlayerGender,SUMPRODUCT((PlayerPlayerNo=(ROUNDUP((ROW()-3.5)/4,0)+((VALUE(RIGHT($A$1,1))-1)*4)))*ROW(PlayerGender))-1)="M",INDEX(HoleHandicapM,L$2,0),INDEX(HoleHandicapF,L$2,0)))</f>
        <v>15</v>
      </c>
      <c r="M16" s="5" cm="1">
        <f t="array" ref="M16">IF($C16="","",IF(INDEX(PlayerGender,SUMPRODUCT((PlayerPlayerNo=(ROUNDUP((ROW()-3.5)/4,0)+((VALUE(RIGHT($A$1,1))-1)*4)))*ROW(PlayerGender))-1)="M",INDEX(HoleHandicapM,M$2,0),INDEX(HoleHandicapF,M$2,0)))</f>
        <v>11</v>
      </c>
      <c r="N16" s="5" cm="1">
        <f t="array" ref="N16">IF($C16="","",IF(INDEX(PlayerGender,SUMPRODUCT((PlayerPlayerNo=(ROUNDUP((ROW()-3.5)/4,0)+((VALUE(RIGHT($A$1,1))-1)*4)))*ROW(PlayerGender))-1)="M",INDEX(HoleHandicapM,N$2,0),INDEX(HoleHandicapF,N$2,0)))</f>
        <v>5</v>
      </c>
      <c r="P16" s="5" cm="1">
        <f t="array" ref="P16">IF($C16="","",IF(INDEX(PlayerGender,SUMPRODUCT((PlayerPlayerNo=(ROUNDUP((ROW()-3.5)/4,0)+((VALUE(RIGHT($A$1,1))-1)*4)))*ROW(PlayerGender))-1)="M",INDEX(HoleHandicapM,P$2,0),INDEX(HoleHandicapF,P$2,0)))</f>
        <v>10</v>
      </c>
      <c r="Q16" s="5" cm="1">
        <f t="array" ref="Q16">IF($C16="","",IF(INDEX(PlayerGender,SUMPRODUCT((PlayerPlayerNo=(ROUNDUP((ROW()-3.5)/4,0)+((VALUE(RIGHT($A$1,1))-1)*4)))*ROW(PlayerGender))-1)="M",INDEX(HoleHandicapM,Q$2,0),INDEX(HoleHandicapF,Q$2,0)))</f>
        <v>4</v>
      </c>
      <c r="R16" s="5" cm="1">
        <f t="array" ref="R16">IF($C16="","",IF(INDEX(PlayerGender,SUMPRODUCT((PlayerPlayerNo=(ROUNDUP((ROW()-3.5)/4,0)+((VALUE(RIGHT($A$1,1))-1)*4)))*ROW(PlayerGender))-1)="M",INDEX(HoleHandicapM,R$2,0),INDEX(HoleHandicapF,R$2,0)))</f>
        <v>8</v>
      </c>
      <c r="S16" s="5" cm="1">
        <f t="array" ref="S16">IF($C16="","",IF(INDEX(PlayerGender,SUMPRODUCT((PlayerPlayerNo=(ROUNDUP((ROW()-3.5)/4,0)+((VALUE(RIGHT($A$1,1))-1)*4)))*ROW(PlayerGender))-1)="M",INDEX(HoleHandicapM,S$2,0),INDEX(HoleHandicapF,S$2,0)))</f>
        <v>16</v>
      </c>
      <c r="T16" s="5" cm="1">
        <f t="array" ref="T16">IF($C16="","",IF(INDEX(PlayerGender,SUMPRODUCT((PlayerPlayerNo=(ROUNDUP((ROW()-3.5)/4,0)+((VALUE(RIGHT($A$1,1))-1)*4)))*ROW(PlayerGender))-1)="M",INDEX(HoleHandicapM,T$2,0),INDEX(HoleHandicapF,T$2,0)))</f>
        <v>18</v>
      </c>
      <c r="U16" s="5" cm="1">
        <f t="array" ref="U16">IF($C16="","",IF(INDEX(PlayerGender,SUMPRODUCT((PlayerPlayerNo=(ROUNDUP((ROW()-3.5)/4,0)+((VALUE(RIGHT($A$1,1))-1)*4)))*ROW(PlayerGender))-1)="M",INDEX(HoleHandicapM,U$2,0),INDEX(HoleHandicapF,U$2,0)))</f>
        <v>2</v>
      </c>
      <c r="V16" s="5" cm="1">
        <f t="array" ref="V16">IF($C16="","",IF(INDEX(PlayerGender,SUMPRODUCT((PlayerPlayerNo=(ROUNDUP((ROW()-3.5)/4,0)+((VALUE(RIGHT($A$1,1))-1)*4)))*ROW(PlayerGender))-1)="M",INDEX(HoleHandicapM,V$2,0),INDEX(HoleHandicapF,V$2,0)))</f>
        <v>14</v>
      </c>
      <c r="W16" s="5" cm="1">
        <f t="array" ref="W16">IF($C16="","",IF(INDEX(PlayerGender,SUMPRODUCT((PlayerPlayerNo=(ROUNDUP((ROW()-3.5)/4,0)+((VALUE(RIGHT($A$1,1))-1)*4)))*ROW(PlayerGender))-1)="M",INDEX(HoleHandicapM,W$2,0),INDEX(HoleHandicapF,W$2,0)))</f>
        <v>12</v>
      </c>
      <c r="X16" s="5" cm="1">
        <f t="array" ref="X16">IF($C16="","",IF(INDEX(PlayerGender,SUMPRODUCT((PlayerPlayerNo=(ROUNDUP((ROW()-3.5)/4,0)+((VALUE(RIGHT($A$1,1))-1)*4)))*ROW(PlayerGender))-1)="M",INDEX(HoleHandicapM,X$2,0),INDEX(HoleHandicapF,X$2,0)))</f>
        <v>6</v>
      </c>
      <c r="Y16" s="5"/>
      <c r="Z16" s="4"/>
    </row>
    <row r="17" spans="1:26" x14ac:dyDescent="0.2">
      <c r="A17" s="4" t="str" cm="1">
        <f t="array" ref="A17">_xlfn.CONCAT(INDEX(PlayerNames,SUMPRODUCT((PlayerPlayerNo=(ROUNDUP((ROW()-3.5)/4,0)+((VALUE(RIGHT($A$1,1))-1)*4)))*ROW(PlayerNames))-1)," Gross")</f>
        <v>Marcus Fast Gross</v>
      </c>
      <c r="B17" s="4"/>
      <c r="C17" s="4"/>
      <c r="D17" s="4"/>
      <c r="E17" s="4"/>
      <c r="F17" s="4">
        <v>6</v>
      </c>
      <c r="G17" s="4">
        <v>9</v>
      </c>
      <c r="H17" s="4">
        <v>7</v>
      </c>
      <c r="I17" s="4">
        <v>7</v>
      </c>
      <c r="J17" s="4">
        <v>4</v>
      </c>
      <c r="K17" s="4">
        <v>6</v>
      </c>
      <c r="L17" s="4">
        <v>5</v>
      </c>
      <c r="M17" s="4">
        <v>5</v>
      </c>
      <c r="N17" s="4">
        <v>8</v>
      </c>
      <c r="O17" s="8">
        <f>IF(SUM(F17:N17)&gt;0,SUM(F17:N17),"")</f>
        <v>57</v>
      </c>
      <c r="P17" s="4">
        <v>8</v>
      </c>
      <c r="Q17" s="4">
        <v>7</v>
      </c>
      <c r="R17" s="4">
        <v>9</v>
      </c>
      <c r="S17" s="4">
        <v>6</v>
      </c>
      <c r="T17" s="4">
        <v>5</v>
      </c>
      <c r="U17" s="4">
        <v>6</v>
      </c>
      <c r="V17" s="4">
        <v>6</v>
      </c>
      <c r="W17" s="4">
        <v>6</v>
      </c>
      <c r="X17" s="4">
        <v>8</v>
      </c>
      <c r="Y17" s="8">
        <f>IF(SUM(P17:X17)&gt;0,SUM(P17:X17),"")</f>
        <v>61</v>
      </c>
      <c r="Z17" s="8">
        <f>IF((SUM(F17:N17)+SUM(P17:X17))&gt;0,SUM(F17:N17)+SUM(P17:X17),"")</f>
        <v>118</v>
      </c>
    </row>
    <row r="18" spans="1:26" x14ac:dyDescent="0.2">
      <c r="A18" s="4" t="str" cm="1">
        <f t="array" ref="A18">_xlfn.CONCAT(INDEX(PlayerNames,SUMPRODUCT((PlayerPlayerNo=((ROUNDUP((ROW()-3.5)/4,0))+((VALUE(RIGHT($A$1,1))-1)*4)))*ROW(PlayerNames))-1)," Handicap Strokes")</f>
        <v>Marcus Fast Handicap Strokes</v>
      </c>
      <c r="B18" s="4"/>
      <c r="C18" s="4"/>
      <c r="D18" s="4"/>
      <c r="E18" s="4"/>
      <c r="F18" s="8">
        <f>ROUNDDOWN($E16/18,0)+IF(MOD($E16,18)&gt;=F16,1,0)</f>
        <v>1</v>
      </c>
      <c r="G18" s="8">
        <f t="shared" ref="G18:N18" si="21">ROUNDDOWN($E16/18,0)+IF(MOD($E16,18)&gt;=G16,1,0)</f>
        <v>2</v>
      </c>
      <c r="H18" s="8">
        <f t="shared" si="21"/>
        <v>1</v>
      </c>
      <c r="I18" s="8">
        <f t="shared" si="21"/>
        <v>1</v>
      </c>
      <c r="J18" s="8">
        <f t="shared" si="21"/>
        <v>1</v>
      </c>
      <c r="K18" s="8">
        <f t="shared" si="21"/>
        <v>2</v>
      </c>
      <c r="L18" s="8">
        <f t="shared" si="21"/>
        <v>1</v>
      </c>
      <c r="M18" s="8">
        <f t="shared" si="21"/>
        <v>1</v>
      </c>
      <c r="N18" s="8">
        <f t="shared" si="21"/>
        <v>2</v>
      </c>
      <c r="O18" s="8">
        <f t="shared" ref="O18:O19" si="22">IF(OR(ISBLANK(F18),F18=""),"",SUM(F18:N18))</f>
        <v>12</v>
      </c>
      <c r="P18" s="8">
        <f t="shared" ref="P18:X18" si="23">ROUNDDOWN($E16/18,0)+IF(MOD($E16,18)&gt;=P16,1,0)</f>
        <v>1</v>
      </c>
      <c r="Q18" s="8">
        <f t="shared" si="23"/>
        <v>2</v>
      </c>
      <c r="R18" s="8">
        <f t="shared" si="23"/>
        <v>1</v>
      </c>
      <c r="S18" s="8">
        <f t="shared" si="23"/>
        <v>1</v>
      </c>
      <c r="T18" s="8">
        <f t="shared" si="23"/>
        <v>1</v>
      </c>
      <c r="U18" s="8">
        <f t="shared" si="23"/>
        <v>2</v>
      </c>
      <c r="V18" s="8">
        <f t="shared" si="23"/>
        <v>1</v>
      </c>
      <c r="W18" s="8">
        <f t="shared" si="23"/>
        <v>1</v>
      </c>
      <c r="X18" s="8">
        <f t="shared" si="23"/>
        <v>2</v>
      </c>
      <c r="Y18" s="8">
        <f t="shared" ref="Y18:Y19" si="24">IF(OR(ISBLANK(P18),P18=""),"",SUM(P18:X18))</f>
        <v>12</v>
      </c>
      <c r="Z18" s="8">
        <f t="shared" ref="Z18:Z19" si="25">IF(OR(ISBLANK(F18),F18=""),"",SUM(F18:N18)+SUM(P18:X18))</f>
        <v>24</v>
      </c>
    </row>
    <row r="19" spans="1:26" x14ac:dyDescent="0.2">
      <c r="A19" s="4" t="str" cm="1">
        <f t="array" ref="A19">_xlfn.CONCAT(INDEX(PlayerNames,SUMPRODUCT((PlayerPlayerNo=((ROUNDUP((ROW()-3.5)/4,0))+((VALUE(RIGHT($A$1,1))-1)*4)))*ROW(PlayerNames))-1)," Net")</f>
        <v>Marcus Fast Net</v>
      </c>
      <c r="B19" s="4"/>
      <c r="C19" s="4"/>
      <c r="D19" s="4"/>
      <c r="E19" s="4"/>
      <c r="F19" s="8">
        <f t="shared" ref="F19:N19" si="26">IF(F17-F18&gt;0,F17-F18,"")</f>
        <v>5</v>
      </c>
      <c r="G19" s="8">
        <f t="shared" si="26"/>
        <v>7</v>
      </c>
      <c r="H19" s="8">
        <f t="shared" si="26"/>
        <v>6</v>
      </c>
      <c r="I19" s="8">
        <f t="shared" si="26"/>
        <v>6</v>
      </c>
      <c r="J19" s="8">
        <f t="shared" si="26"/>
        <v>3</v>
      </c>
      <c r="K19" s="8">
        <f t="shared" si="26"/>
        <v>4</v>
      </c>
      <c r="L19" s="8">
        <f t="shared" si="26"/>
        <v>4</v>
      </c>
      <c r="M19" s="8">
        <f t="shared" si="26"/>
        <v>4</v>
      </c>
      <c r="N19" s="8">
        <f t="shared" si="26"/>
        <v>6</v>
      </c>
      <c r="O19" s="8">
        <f t="shared" si="22"/>
        <v>45</v>
      </c>
      <c r="P19" s="8">
        <f t="shared" ref="P19:X19" si="27">IF(P17-P18&gt;0,P17-P18,"")</f>
        <v>7</v>
      </c>
      <c r="Q19" s="8">
        <f t="shared" si="27"/>
        <v>5</v>
      </c>
      <c r="R19" s="8">
        <f t="shared" si="27"/>
        <v>8</v>
      </c>
      <c r="S19" s="8">
        <f t="shared" si="27"/>
        <v>5</v>
      </c>
      <c r="T19" s="8">
        <f t="shared" si="27"/>
        <v>4</v>
      </c>
      <c r="U19" s="8">
        <f t="shared" si="27"/>
        <v>4</v>
      </c>
      <c r="V19" s="8">
        <f t="shared" si="27"/>
        <v>5</v>
      </c>
      <c r="W19" s="8">
        <f t="shared" si="27"/>
        <v>5</v>
      </c>
      <c r="X19" s="8">
        <f t="shared" si="27"/>
        <v>6</v>
      </c>
      <c r="Y19" s="8">
        <f t="shared" si="24"/>
        <v>49</v>
      </c>
      <c r="Z19" s="8">
        <f t="shared" si="25"/>
        <v>94</v>
      </c>
    </row>
    <row r="20" spans="1:26" x14ac:dyDescent="0.2">
      <c r="A20" t="s">
        <v>54</v>
      </c>
      <c r="F20" cm="1">
        <f t="array" ref="F20">IFERROR(_xlfn.LET(_xlpm.x,_xlfn._xlws.FILTER($A$4:$Z$19,RIGHT($A$4:$A$19,4)=" Net"),_xlpm.y,INDEX(_xlpm.x,,COLUMN()),SMALL(_xlpm.y,1)+SMALL(_xlpm.y,2)+SMALL(_xlpm.y,3)),"")</f>
        <v>11</v>
      </c>
      <c r="I20" cm="1">
        <f t="array" ref="I20">IFERROR(_xlfn.LET(_xlpm.x,_xlfn._xlws.FILTER($A$4:$Z$19,RIGHT($A$4:$A$19,4)=" Net"),_xlpm.y,INDEX(_xlpm.x,,COLUMN()),SMALL(_xlpm.y,1)+SMALL(_xlpm.y,2)+SMALL(_xlpm.y,3)),"")</f>
        <v>12</v>
      </c>
      <c r="L20" cm="1">
        <f t="array" ref="L20">IFERROR(_xlfn.LET(_xlpm.x,_xlfn._xlws.FILTER($A$4:$Z$19,RIGHT($A$4:$A$19,4)=" Net"),_xlpm.y,INDEX(_xlpm.x,,COLUMN()),SMALL(_xlpm.y,1)+SMALL(_xlpm.y,2)+SMALL(_xlpm.y,3)),"")</f>
        <v>12</v>
      </c>
      <c r="P20" cm="1">
        <f t="array" ref="P20">IFERROR(_xlfn.LET(_xlpm.x,_xlfn._xlws.FILTER($A$4:$Z$19,RIGHT($A$4:$A$19,4)=" Net"),_xlpm.y,INDEX(_xlpm.x,,COLUMN()),SMALL(_xlpm.y,1)+SMALL(_xlpm.y,2)+SMALL(_xlpm.y,3)),"")</f>
        <v>19</v>
      </c>
      <c r="S20" cm="1">
        <f t="array" ref="S20">IFERROR(_xlfn.LET(_xlpm.x,_xlfn._xlws.FILTER($A$4:$Z$19,RIGHT($A$4:$A$19,4)=" Net"),_xlpm.y,INDEX(_xlpm.x,,COLUMN()),SMALL(_xlpm.y,1)+SMALL(_xlpm.y,2)+SMALL(_xlpm.y,3)),"")</f>
        <v>10</v>
      </c>
      <c r="V20" cm="1">
        <f t="array" ref="V20">IFERROR(_xlfn.LET(_xlpm.x,_xlfn._xlws.FILTER($A$4:$Z$19,RIGHT($A$4:$A$19,4)=" Net"),_xlpm.y,INDEX(_xlpm.x,,COLUMN()),SMALL(_xlpm.y,1)+SMALL(_xlpm.y,2)+SMALL(_xlpm.y,3)),"")</f>
        <v>13</v>
      </c>
    </row>
    <row r="21" spans="1:26" x14ac:dyDescent="0.2">
      <c r="A21" t="s">
        <v>55</v>
      </c>
      <c r="G21" cm="1">
        <f t="array" ref="G21">IFERROR(_xlfn.LET(_xlpm.x,_xlfn._xlws.FILTER($A$4:$Z$19,RIGHT($A$4:$A$19,4)=" Net"),_xlpm.y,INDEX(_xlpm.x,,COLUMN()),SMALL(_xlpm.y,1)+SMALL(_xlpm.y,2)),"")</f>
        <v>9</v>
      </c>
      <c r="J21" cm="1">
        <f t="array" ref="J21">IFERROR(_xlfn.LET(_xlpm.x,_xlfn._xlws.FILTER($A$4:$Z$19,RIGHT($A$4:$A$19,4)=" Net"),_xlpm.y,INDEX(_xlpm.x,,COLUMN()),SMALL(_xlpm.y,1)+SMALL(_xlpm.y,2)),"")</f>
        <v>6</v>
      </c>
      <c r="M21" cm="1">
        <f t="array" ref="M21">IFERROR(_xlfn.LET(_xlpm.x,_xlfn._xlws.FILTER($A$4:$Z$19,RIGHT($A$4:$A$19,4)=" Net"),_xlpm.y,INDEX(_xlpm.x,,COLUMN()),SMALL(_xlpm.y,1)+SMALL(_xlpm.y,2)),"")</f>
        <v>8</v>
      </c>
      <c r="Q21" cm="1">
        <f t="array" ref="Q21">IFERROR(_xlfn.LET(_xlpm.x,_xlfn._xlws.FILTER($A$4:$Z$19,RIGHT($A$4:$A$19,4)=" Net"),_xlpm.y,INDEX(_xlpm.x,,COLUMN()),SMALL(_xlpm.y,1)+SMALL(_xlpm.y,2)),"")</f>
        <v>5</v>
      </c>
      <c r="T21" cm="1">
        <f t="array" ref="T21">IFERROR(_xlfn.LET(_xlpm.x,_xlfn._xlws.FILTER($A$4:$Z$19,RIGHT($A$4:$A$19,4)=" Net"),_xlpm.y,INDEX(_xlpm.x,,COLUMN()),SMALL(_xlpm.y,1)+SMALL(_xlpm.y,2)),"")</f>
        <v>6</v>
      </c>
      <c r="W21" cm="1">
        <f t="array" ref="W21">IFERROR(_xlfn.LET(_xlpm.x,_xlfn._xlws.FILTER($A$4:$Z$19,RIGHT($A$4:$A$19,4)=" Net"),_xlpm.y,INDEX(_xlpm.x,,COLUMN()),SMALL(_xlpm.y,1)+SMALL(_xlpm.y,2)),"")</f>
        <v>5</v>
      </c>
    </row>
    <row r="22" spans="1:26" x14ac:dyDescent="0.2">
      <c r="A22" t="s">
        <v>53</v>
      </c>
      <c r="H22" s="9" cm="1">
        <f t="array" ref="H22">IFERROR(_xlfn.LET(_xlpm.x,_xlfn._xlws.FILTER($A$4:$Z$19,RIGHT('Scoresheet Team 1'!$A$4:$A$19,4)=" Net"),_xlpm.y,INDEX(_xlpm.x,,COLUMN()),SMALL(_xlpm.y,1)),"")</f>
        <v>4</v>
      </c>
      <c r="K22" s="9" cm="1">
        <f t="array" ref="K22">IFERROR(_xlfn.LET(_xlpm.x,_xlfn._xlws.FILTER($A$4:$Z$19,RIGHT('Scoresheet Team 1'!$A$4:$A$19,4)=" Net"),_xlpm.y,INDEX(_xlpm.x,,COLUMN()),SMALL(_xlpm.y,1)),"")</f>
        <v>3</v>
      </c>
      <c r="N22" s="9" cm="1">
        <f t="array" ref="N22">IFERROR(_xlfn.LET(_xlpm.x,_xlfn._xlws.FILTER($A$4:$Z$19,RIGHT('Scoresheet Team 1'!$A$4:$A$19,4)=" Net"),_xlpm.y,INDEX(_xlpm.x,,COLUMN()),SMALL(_xlpm.y,1)),"")</f>
        <v>4</v>
      </c>
      <c r="R22" s="9" cm="1">
        <f t="array" ref="R22">IFERROR(_xlfn.LET(_xlpm.x,_xlfn._xlws.FILTER($A$4:$Z$19,RIGHT('Scoresheet Team 1'!$A$4:$A$19,4)=" Net"),_xlpm.y,INDEX(_xlpm.x,,COLUMN()),SMALL(_xlpm.y,1)),"")</f>
        <v>5</v>
      </c>
      <c r="U22" s="9" cm="1">
        <f t="array" ref="U22">IFERROR(_xlfn.LET(_xlpm.x,_xlfn._xlws.FILTER($A$4:$Z$19,RIGHT('Scoresheet Team 1'!$A$4:$A$19,4)=" Net"),_xlpm.y,INDEX(_xlpm.x,,COLUMN()),SMALL(_xlpm.y,1)),"")</f>
        <v>3</v>
      </c>
      <c r="X22" s="9" cm="1">
        <f t="array" ref="X22">IFERROR(_xlfn.LET(_xlpm.x,_xlfn._xlws.FILTER($A$4:$Z$19,RIGHT('Scoresheet Team 1'!$A$4:$A$19,4)=" Net"),_xlpm.y,INDEX(_xlpm.x,,COLUMN()),SMALL(_xlpm.y,1)),"")</f>
        <v>5</v>
      </c>
    </row>
    <row r="23" spans="1:26" x14ac:dyDescent="0.2">
      <c r="A23" t="str">
        <f>_xlfn.CONCAT("Team '", A2, "' Total")</f>
        <v>Team 'FACCin' Golf' Total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Z23" s="9">
        <f>_xlfn.LET(_xlpm.x,SUM(F20:X22),IF(_xlpm.x&gt;0,_xlpm.x,""))</f>
        <v>140</v>
      </c>
    </row>
  </sheetData>
  <conditionalFormatting sqref="B9:Z11 B13:Z15 B17:Z19 A8:A19 B8:N8 B12:N12 B16:N16 A4:Z7">
    <cfRule type="expression" dxfId="7" priority="9">
      <formula>MOD(ROUNDUP((ROW()-3.5)/4,0),2)=0</formula>
    </cfRule>
  </conditionalFormatting>
  <conditionalFormatting sqref="O8 Y8:Z8">
    <cfRule type="expression" dxfId="6" priority="8">
      <formula>MOD(ROUNDUP((ROW()-3.5)/4,0),2)=0</formula>
    </cfRule>
  </conditionalFormatting>
  <conditionalFormatting sqref="O12 Y12:Z12">
    <cfRule type="expression" dxfId="5" priority="7">
      <formula>MOD(ROUNDUP((ROW()-3.5)/4,0),2)=0</formula>
    </cfRule>
  </conditionalFormatting>
  <conditionalFormatting sqref="O16 Y16:Z16">
    <cfRule type="expression" dxfId="4" priority="6">
      <formula>MOD(ROUNDUP((ROW()-3.5)/4,0),2)=0</formula>
    </cfRule>
  </conditionalFormatting>
  <conditionalFormatting sqref="P8:X8">
    <cfRule type="expression" dxfId="3" priority="5">
      <formula>MOD(ROUNDUP((ROW()-3.5)/4,0),2)=0</formula>
    </cfRule>
  </conditionalFormatting>
  <conditionalFormatting sqref="P12:X12">
    <cfRule type="expression" dxfId="2" priority="4">
      <formula>MOD(ROUNDUP((ROW()-3.5)/4,0),2)=0</formula>
    </cfRule>
  </conditionalFormatting>
  <conditionalFormatting sqref="P16:X16">
    <cfRule type="expression" dxfId="1" priority="3">
      <formula>MOD(ROUNDUP((ROW()-3.5)/4,0),2)=0</formula>
    </cfRule>
  </conditionalFormatting>
  <conditionalFormatting sqref="A20:X21">
    <cfRule type="expression" dxfId="0" priority="1">
      <formula>MOD(ROUNDUP((ROW()-3.5)/4,0),2)=0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80ABB-7544-4F0D-BA27-7FF6D9CBDA3B}">
  <dimension ref="A1:G13"/>
  <sheetViews>
    <sheetView workbookViewId="0">
      <selection activeCell="F10" sqref="F10"/>
    </sheetView>
  </sheetViews>
  <sheetFormatPr defaultRowHeight="15" x14ac:dyDescent="0.2"/>
  <cols>
    <col min="1" max="1" width="15.46875" bestFit="1" customWidth="1"/>
    <col min="6" max="6" width="10.35546875" bestFit="1" customWidth="1"/>
  </cols>
  <sheetData>
    <row r="1" spans="1:7" x14ac:dyDescent="0.2">
      <c r="B1" t="s">
        <v>6</v>
      </c>
      <c r="C1" t="s">
        <v>0</v>
      </c>
      <c r="D1" t="s">
        <v>39</v>
      </c>
      <c r="E1" t="s">
        <v>7</v>
      </c>
      <c r="F1" t="s">
        <v>8</v>
      </c>
      <c r="G1" t="s">
        <v>9</v>
      </c>
    </row>
    <row r="2" spans="1:7" x14ac:dyDescent="0.2">
      <c r="A2" t="s">
        <v>10</v>
      </c>
      <c r="B2">
        <v>27.8</v>
      </c>
      <c r="C2">
        <v>9</v>
      </c>
      <c r="D2">
        <v>3</v>
      </c>
      <c r="E2" t="s">
        <v>11</v>
      </c>
      <c r="F2" t="s">
        <v>29</v>
      </c>
      <c r="G2" s="1">
        <v>10</v>
      </c>
    </row>
    <row r="3" spans="1:7" x14ac:dyDescent="0.2">
      <c r="A3" t="s">
        <v>12</v>
      </c>
      <c r="B3">
        <v>13.8</v>
      </c>
      <c r="C3">
        <v>1</v>
      </c>
      <c r="D3">
        <v>1</v>
      </c>
      <c r="E3" t="s">
        <v>11</v>
      </c>
      <c r="F3" t="s">
        <v>33</v>
      </c>
      <c r="G3" s="1">
        <v>10</v>
      </c>
    </row>
    <row r="4" spans="1:7" x14ac:dyDescent="0.2">
      <c r="A4" t="s">
        <v>31</v>
      </c>
      <c r="B4">
        <v>26</v>
      </c>
      <c r="C4">
        <v>8</v>
      </c>
      <c r="D4">
        <v>2</v>
      </c>
      <c r="E4" t="s">
        <v>11</v>
      </c>
      <c r="F4" t="s">
        <v>29</v>
      </c>
      <c r="G4" s="1">
        <v>10</v>
      </c>
    </row>
    <row r="5" spans="1:7" x14ac:dyDescent="0.2">
      <c r="A5" t="s">
        <v>44</v>
      </c>
      <c r="B5">
        <v>39.6</v>
      </c>
      <c r="C5">
        <v>10</v>
      </c>
      <c r="D5">
        <v>3</v>
      </c>
      <c r="E5" t="s">
        <v>11</v>
      </c>
      <c r="F5" t="s">
        <v>42</v>
      </c>
      <c r="G5" s="1">
        <v>10</v>
      </c>
    </row>
    <row r="6" spans="1:7" x14ac:dyDescent="0.2">
      <c r="A6" t="s">
        <v>40</v>
      </c>
      <c r="B6">
        <v>5.0999999999999996</v>
      </c>
      <c r="C6">
        <v>11</v>
      </c>
      <c r="D6">
        <v>3</v>
      </c>
      <c r="E6" t="s">
        <v>11</v>
      </c>
      <c r="F6" t="s">
        <v>33</v>
      </c>
      <c r="G6" s="1">
        <v>10</v>
      </c>
    </row>
    <row r="7" spans="1:7" x14ac:dyDescent="0.2">
      <c r="A7" t="s">
        <v>32</v>
      </c>
      <c r="B7">
        <v>40</v>
      </c>
      <c r="C7">
        <v>2</v>
      </c>
      <c r="D7">
        <v>1</v>
      </c>
      <c r="E7" t="s">
        <v>11</v>
      </c>
      <c r="F7" t="s">
        <v>42</v>
      </c>
      <c r="G7" s="1">
        <v>10</v>
      </c>
    </row>
    <row r="8" spans="1:7" x14ac:dyDescent="0.2">
      <c r="A8" t="s">
        <v>34</v>
      </c>
      <c r="B8">
        <v>41.8</v>
      </c>
      <c r="C8">
        <v>5</v>
      </c>
      <c r="D8">
        <v>2</v>
      </c>
      <c r="E8" t="s">
        <v>11</v>
      </c>
      <c r="F8" t="s">
        <v>42</v>
      </c>
      <c r="G8" s="1">
        <v>10</v>
      </c>
    </row>
    <row r="9" spans="1:7" x14ac:dyDescent="0.2">
      <c r="A9" t="s">
        <v>35</v>
      </c>
      <c r="B9">
        <v>40</v>
      </c>
      <c r="C9">
        <v>6</v>
      </c>
      <c r="D9">
        <v>2</v>
      </c>
      <c r="E9" t="s">
        <v>45</v>
      </c>
      <c r="F9" t="s">
        <v>43</v>
      </c>
      <c r="G9" s="1">
        <v>10</v>
      </c>
    </row>
    <row r="10" spans="1:7" x14ac:dyDescent="0.2">
      <c r="A10" t="s">
        <v>36</v>
      </c>
      <c r="B10">
        <v>26</v>
      </c>
      <c r="C10">
        <v>7</v>
      </c>
      <c r="D10">
        <v>2</v>
      </c>
      <c r="E10" t="s">
        <v>45</v>
      </c>
      <c r="F10" t="s">
        <v>43</v>
      </c>
      <c r="G10" s="1">
        <v>10</v>
      </c>
    </row>
    <row r="11" spans="1:7" x14ac:dyDescent="0.2">
      <c r="A11" t="s">
        <v>37</v>
      </c>
      <c r="B11">
        <v>19.899999999999999</v>
      </c>
      <c r="C11">
        <v>3</v>
      </c>
      <c r="D11">
        <v>1</v>
      </c>
      <c r="E11" t="s">
        <v>11</v>
      </c>
      <c r="F11" t="s">
        <v>29</v>
      </c>
      <c r="G11" s="1">
        <v>10</v>
      </c>
    </row>
    <row r="12" spans="1:7" x14ac:dyDescent="0.2">
      <c r="A12" t="s">
        <v>38</v>
      </c>
      <c r="B12">
        <v>28.7</v>
      </c>
      <c r="C12">
        <v>4</v>
      </c>
      <c r="D12">
        <v>1</v>
      </c>
      <c r="E12" t="s">
        <v>11</v>
      </c>
      <c r="F12" t="s">
        <v>29</v>
      </c>
      <c r="G12" s="1">
        <v>10</v>
      </c>
    </row>
    <row r="13" spans="1:7" x14ac:dyDescent="0.2">
      <c r="A13" t="s">
        <v>41</v>
      </c>
      <c r="B13">
        <v>35.799999999999997</v>
      </c>
      <c r="C13">
        <v>12</v>
      </c>
      <c r="D13">
        <v>3</v>
      </c>
      <c r="E13" t="s">
        <v>11</v>
      </c>
      <c r="F13" t="s">
        <v>42</v>
      </c>
      <c r="G13" s="1">
        <v>10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59C23-682D-49D2-A244-6BA5412B10F6}">
  <dimension ref="A1:J22"/>
  <sheetViews>
    <sheetView workbookViewId="0">
      <selection activeCell="B11" sqref="B11"/>
    </sheetView>
  </sheetViews>
  <sheetFormatPr defaultRowHeight="15" x14ac:dyDescent="0.2"/>
  <cols>
    <col min="1" max="1" width="26.09765625" bestFit="1" customWidth="1"/>
    <col min="3" max="3" width="10.35546875" bestFit="1" customWidth="1"/>
  </cols>
  <sheetData>
    <row r="1" spans="1:10" x14ac:dyDescent="0.2">
      <c r="A1" t="s">
        <v>13</v>
      </c>
      <c r="B1" t="s">
        <v>30</v>
      </c>
      <c r="G1" t="s">
        <v>14</v>
      </c>
      <c r="H1" t="s">
        <v>14</v>
      </c>
      <c r="I1" t="s">
        <v>15</v>
      </c>
      <c r="J1" t="s">
        <v>15</v>
      </c>
    </row>
    <row r="2" spans="1:10" x14ac:dyDescent="0.2">
      <c r="A2" t="s">
        <v>16</v>
      </c>
      <c r="B2" t="s">
        <v>33</v>
      </c>
      <c r="C2" t="s">
        <v>29</v>
      </c>
      <c r="D2" t="s">
        <v>42</v>
      </c>
      <c r="F2" t="s">
        <v>17</v>
      </c>
      <c r="G2" t="s">
        <v>2</v>
      </c>
      <c r="H2" t="s">
        <v>1</v>
      </c>
      <c r="I2" t="s">
        <v>2</v>
      </c>
      <c r="J2" t="s">
        <v>1</v>
      </c>
    </row>
    <row r="3" spans="1:10" x14ac:dyDescent="0.2">
      <c r="A3" t="s">
        <v>18</v>
      </c>
      <c r="B3">
        <v>132</v>
      </c>
      <c r="C3">
        <v>124</v>
      </c>
      <c r="D3">
        <v>117</v>
      </c>
      <c r="F3">
        <v>1</v>
      </c>
      <c r="G3">
        <v>9</v>
      </c>
      <c r="H3">
        <v>4</v>
      </c>
      <c r="I3">
        <v>9</v>
      </c>
      <c r="J3">
        <v>4</v>
      </c>
    </row>
    <row r="4" spans="1:10" x14ac:dyDescent="0.2">
      <c r="A4" t="s">
        <v>19</v>
      </c>
      <c r="B4">
        <v>71.099999999999994</v>
      </c>
      <c r="C4">
        <v>69</v>
      </c>
      <c r="D4">
        <v>67.8</v>
      </c>
      <c r="F4">
        <v>2</v>
      </c>
      <c r="G4">
        <v>3</v>
      </c>
      <c r="H4">
        <v>5</v>
      </c>
      <c r="I4">
        <v>3</v>
      </c>
      <c r="J4">
        <v>5</v>
      </c>
    </row>
    <row r="5" spans="1:10" x14ac:dyDescent="0.2">
      <c r="A5" t="s">
        <v>20</v>
      </c>
      <c r="B5">
        <v>72</v>
      </c>
      <c r="C5">
        <v>72</v>
      </c>
      <c r="D5">
        <v>72</v>
      </c>
      <c r="F5">
        <v>3</v>
      </c>
      <c r="G5">
        <v>7</v>
      </c>
      <c r="H5">
        <v>4</v>
      </c>
      <c r="I5">
        <v>7</v>
      </c>
      <c r="J5">
        <v>4</v>
      </c>
    </row>
    <row r="6" spans="1:10" x14ac:dyDescent="0.2">
      <c r="A6" t="s">
        <v>21</v>
      </c>
      <c r="B6" t="s">
        <v>43</v>
      </c>
      <c r="F6">
        <v>4</v>
      </c>
      <c r="G6">
        <v>17</v>
      </c>
      <c r="H6">
        <v>4</v>
      </c>
      <c r="I6">
        <v>17</v>
      </c>
      <c r="J6">
        <v>4</v>
      </c>
    </row>
    <row r="7" spans="1:10" x14ac:dyDescent="0.2">
      <c r="A7" t="s">
        <v>22</v>
      </c>
      <c r="B7">
        <v>128</v>
      </c>
      <c r="F7">
        <v>5</v>
      </c>
      <c r="G7">
        <v>13</v>
      </c>
      <c r="H7">
        <v>3</v>
      </c>
      <c r="I7">
        <v>13</v>
      </c>
      <c r="J7">
        <v>3</v>
      </c>
    </row>
    <row r="8" spans="1:10" x14ac:dyDescent="0.2">
      <c r="A8" t="s">
        <v>23</v>
      </c>
      <c r="B8">
        <v>68.599999999999994</v>
      </c>
      <c r="F8">
        <v>6</v>
      </c>
      <c r="G8">
        <v>1</v>
      </c>
      <c r="H8">
        <v>4</v>
      </c>
      <c r="I8">
        <v>1</v>
      </c>
      <c r="J8">
        <v>4</v>
      </c>
    </row>
    <row r="9" spans="1:10" x14ac:dyDescent="0.2">
      <c r="A9" t="s">
        <v>24</v>
      </c>
      <c r="B9">
        <v>72</v>
      </c>
      <c r="F9">
        <v>7</v>
      </c>
      <c r="G9">
        <v>15</v>
      </c>
      <c r="H9">
        <v>4</v>
      </c>
      <c r="I9">
        <v>15</v>
      </c>
      <c r="J9">
        <v>4</v>
      </c>
    </row>
    <row r="10" spans="1:10" x14ac:dyDescent="0.2">
      <c r="A10" t="s">
        <v>25</v>
      </c>
      <c r="B10" s="2">
        <v>0.9</v>
      </c>
      <c r="F10">
        <v>8</v>
      </c>
      <c r="G10">
        <v>11</v>
      </c>
      <c r="H10">
        <v>3</v>
      </c>
      <c r="I10">
        <v>11</v>
      </c>
      <c r="J10">
        <v>3</v>
      </c>
    </row>
    <row r="11" spans="1:10" x14ac:dyDescent="0.2">
      <c r="A11" t="s">
        <v>26</v>
      </c>
      <c r="B11">
        <v>30</v>
      </c>
      <c r="F11">
        <v>9</v>
      </c>
      <c r="G11">
        <v>5</v>
      </c>
      <c r="H11">
        <v>5</v>
      </c>
      <c r="I11">
        <v>5</v>
      </c>
      <c r="J11">
        <v>5</v>
      </c>
    </row>
    <row r="12" spans="1:10" x14ac:dyDescent="0.2">
      <c r="F12">
        <v>10</v>
      </c>
      <c r="G12">
        <v>10</v>
      </c>
      <c r="H12">
        <v>4</v>
      </c>
      <c r="I12">
        <v>10</v>
      </c>
      <c r="J12">
        <v>4</v>
      </c>
    </row>
    <row r="13" spans="1:10" x14ac:dyDescent="0.2">
      <c r="A13" t="s">
        <v>5</v>
      </c>
      <c r="F13">
        <v>11</v>
      </c>
      <c r="G13">
        <v>4</v>
      </c>
      <c r="H13">
        <v>4</v>
      </c>
      <c r="I13">
        <v>4</v>
      </c>
      <c r="J13">
        <v>4</v>
      </c>
    </row>
    <row r="14" spans="1:10" x14ac:dyDescent="0.2">
      <c r="A14" t="s">
        <v>4</v>
      </c>
      <c r="B14" s="1">
        <f>SUM(EntryFees)</f>
        <v>120</v>
      </c>
      <c r="F14">
        <v>12</v>
      </c>
      <c r="G14">
        <v>8</v>
      </c>
      <c r="H14">
        <v>5</v>
      </c>
      <c r="I14">
        <v>8</v>
      </c>
      <c r="J14">
        <v>5</v>
      </c>
    </row>
    <row r="15" spans="1:10" x14ac:dyDescent="0.2">
      <c r="A15" t="s">
        <v>3</v>
      </c>
      <c r="B15" t="s">
        <v>27</v>
      </c>
      <c r="F15">
        <v>13</v>
      </c>
      <c r="G15">
        <v>16</v>
      </c>
      <c r="H15">
        <v>3</v>
      </c>
      <c r="I15">
        <v>16</v>
      </c>
      <c r="J15">
        <v>3</v>
      </c>
    </row>
    <row r="16" spans="1:10" x14ac:dyDescent="0.2">
      <c r="A16">
        <v>1</v>
      </c>
      <c r="B16" s="2">
        <v>1</v>
      </c>
      <c r="F16">
        <v>14</v>
      </c>
      <c r="G16">
        <v>18</v>
      </c>
      <c r="H16">
        <v>4</v>
      </c>
      <c r="I16">
        <v>18</v>
      </c>
      <c r="J16">
        <v>4</v>
      </c>
    </row>
    <row r="17" spans="1:10" x14ac:dyDescent="0.2">
      <c r="A17">
        <v>2</v>
      </c>
      <c r="B17" s="2">
        <v>0</v>
      </c>
      <c r="F17">
        <v>15</v>
      </c>
      <c r="G17">
        <v>2</v>
      </c>
      <c r="H17">
        <v>4</v>
      </c>
      <c r="I17">
        <v>2</v>
      </c>
      <c r="J17">
        <v>4</v>
      </c>
    </row>
    <row r="18" spans="1:10" x14ac:dyDescent="0.2">
      <c r="A18">
        <v>3</v>
      </c>
      <c r="B18" s="2">
        <v>0</v>
      </c>
      <c r="F18">
        <v>16</v>
      </c>
      <c r="G18">
        <v>14</v>
      </c>
      <c r="H18">
        <v>4</v>
      </c>
      <c r="I18">
        <v>14</v>
      </c>
      <c r="J18">
        <v>4</v>
      </c>
    </row>
    <row r="19" spans="1:10" x14ac:dyDescent="0.2">
      <c r="A19">
        <v>4</v>
      </c>
      <c r="B19" s="2">
        <v>0</v>
      </c>
      <c r="F19">
        <v>17</v>
      </c>
      <c r="G19">
        <v>12</v>
      </c>
      <c r="H19">
        <v>3</v>
      </c>
      <c r="I19">
        <v>12</v>
      </c>
      <c r="J19">
        <v>3</v>
      </c>
    </row>
    <row r="20" spans="1:10" x14ac:dyDescent="0.2">
      <c r="A20">
        <v>5</v>
      </c>
      <c r="B20" s="2">
        <v>0</v>
      </c>
      <c r="F20">
        <v>18</v>
      </c>
      <c r="G20">
        <v>6</v>
      </c>
      <c r="H20">
        <v>5</v>
      </c>
      <c r="I20">
        <v>6</v>
      </c>
      <c r="J20">
        <v>5</v>
      </c>
    </row>
    <row r="21" spans="1:10" x14ac:dyDescent="0.2">
      <c r="A21">
        <v>6</v>
      </c>
      <c r="B21" s="2">
        <v>0</v>
      </c>
      <c r="F21" t="s">
        <v>28</v>
      </c>
      <c r="G21" t="str">
        <f>IF(SUM(_xlfn.SEQUENCE(18,,1,1))=SUM(G3:G20),"Good","Bad")</f>
        <v>Good</v>
      </c>
      <c r="H21">
        <f>SUM(H3:H20)</f>
        <v>72</v>
      </c>
      <c r="I21" t="str">
        <f>IF(SUM(_xlfn.SEQUENCE(18,,1,1))=SUM(I3:I20),"Good","Bad")</f>
        <v>Good</v>
      </c>
      <c r="J21">
        <f>SUM(J3:J20)</f>
        <v>72</v>
      </c>
    </row>
    <row r="22" spans="1:10" x14ac:dyDescent="0.2">
      <c r="A22">
        <v>7</v>
      </c>
      <c r="B22" s="2">
        <v>0</v>
      </c>
    </row>
  </sheetData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E920C-9D99-4F93-AE6E-38F7C89429A1}">
  <dimension ref="A1:E7"/>
  <sheetViews>
    <sheetView tabSelected="1" workbookViewId="0">
      <selection activeCell="B9" sqref="B9"/>
    </sheetView>
  </sheetViews>
  <sheetFormatPr defaultRowHeight="15" x14ac:dyDescent="0.2"/>
  <cols>
    <col min="1" max="1" width="23" bestFit="1" customWidth="1"/>
  </cols>
  <sheetData>
    <row r="1" spans="1:5" x14ac:dyDescent="0.2">
      <c r="A1" t="s">
        <v>52</v>
      </c>
    </row>
    <row r="2" spans="1:5" x14ac:dyDescent="0.2">
      <c r="A2" t="str" cm="1">
        <f t="array" ref="A2:B4">_xlfn._xlws.SORT(_xlfn._xlws.FILTER(_xlfn.LET(_xlpm.x, _xlfn._xlws.FILTER('Scoresheet Team 1'!$A$1:$Z$23,RIGHT('Scoresheet Team 1'!$A$1:$A$23,5)="Total"),
_xlpm.y, _xlfn._xlws.FILTER('Scoresheet Team 2'!$A$1:$Z$23,RIGHT('Scoresheet Team 2'!$A$1:$A$23,5)="Total"),
_xlpm.z, _xlfn._xlws.FILTER('Scoresheet Team 3'!$A$1:$Z$23,RIGHT('Scoresheet Team 3'!$A$1:$A$23,5)="Total"),
_xlpm.rows1, ROWS(_xlpm.x), _xlpm.rows2, ROWS(_xlpm.y), _xlpm.rows3, ROWS(_xlpm.z),
_xlpm.myrows, _xlfn.SEQUENCE(_xlpm.rows1+_xlpm.rows2+_xlpm.rows3),
_xlpm.mycols, _xlfn.SEQUENCE(1,COLUMNS(_xlpm.x)),
IF(_xlpm.myrows&lt;=_xlpm.rows1, _xlpm.x,
IF(_xlpm.myrows&lt;=(_xlpm.rows1+_xlpm.rows2),INDEX(_xlpm.y, _xlpm.myrows-_xlpm.rows1, _xlpm.mycols),
INDEX(_xlpm.z, _xlpm.myrows-_xlpm.rows1-_xlpm.rows2, _xlpm.mycols)))),{1,0,0,0,0,0,0,0,0,0,0,0,0,0,0,0,0,0,0,0,0,0,0,0,0,1}),2,1)</f>
        <v>Team 'Team ACOSA' Total</v>
      </c>
      <c r="B2">
        <v>133</v>
      </c>
      <c r="C2">
        <f>_xlfn.LET(_xlpm.rank,_xlfn.RANK.EQ(B2,$B$2:$B$7,1),IF(ISERROR(_xlpm.rank),"",IF(ISNA(_xlpm.rank),"",_xlpm.rank)))</f>
        <v>1</v>
      </c>
      <c r="D2" t="str">
        <f>IF(C2="","",IF(COUNTIF($C$2:$C$7,C2)&gt;1,CONCATENATE("T",C2),TEXT(C2,"0")))</f>
        <v>1</v>
      </c>
      <c r="E2" s="3">
        <f t="shared" ref="E2:E7" ca="1" si="0">IF(C2="","",IF(ISNA(VLOOKUP(C2,PlacePayouts,1,FALSE)),0,AVERAGE(OFFSET(PlacePayouts,VLOOKUP(C2,PlacePayouts,1,FALSE)-1,1,COUNTIF(C:C,C2)))*Kitty))</f>
        <v>120</v>
      </c>
    </row>
    <row r="3" spans="1:5" x14ac:dyDescent="0.2">
      <c r="A3" t="str">
        <v>Team 'FACCin' Golf' Total</v>
      </c>
      <c r="B3">
        <v>140</v>
      </c>
      <c r="C3">
        <f>_xlfn.LET(_xlpm.rank,_xlfn.RANK.EQ(B3,$B$2:$B$7,1),IF(ISERROR(_xlpm.rank),"",IF(ISNA(_xlpm.rank),"",_xlpm.rank)))</f>
        <v>2</v>
      </c>
      <c r="D3" t="str">
        <f t="shared" ref="D3:D7" si="1">IF(C3="","",IF(COUNTIF($C$2:$C$7,C3)&gt;1,CONCATENATE("T",C3),TEXT(C3,"0")))</f>
        <v>2</v>
      </c>
      <c r="E3" s="3">
        <f t="shared" ca="1" si="0"/>
        <v>0</v>
      </c>
    </row>
    <row r="4" spans="1:5" x14ac:dyDescent="0.2">
      <c r="A4" t="str">
        <v>Team 'The Huffers' Total</v>
      </c>
      <c r="B4">
        <v>151</v>
      </c>
      <c r="C4">
        <f>_xlfn.LET(_xlpm.rank,_xlfn.RANK.EQ(B4,$B$2:$B$7,1),IF(ISERROR(_xlpm.rank),"",IF(ISNA(_xlpm.rank),"",_xlpm.rank)))</f>
        <v>3</v>
      </c>
      <c r="D4" t="str">
        <f t="shared" si="1"/>
        <v>3</v>
      </c>
      <c r="E4" s="3">
        <f t="shared" ca="1" si="0"/>
        <v>0</v>
      </c>
    </row>
    <row r="5" spans="1:5" x14ac:dyDescent="0.2">
      <c r="C5" t="str">
        <f>IF(ISNA(_xlfn.RANK.EQ(B5,$B$2:$B$7,1)),"",_xlfn.RANK.EQ(B5,$B$2:$B$7,1))</f>
        <v/>
      </c>
      <c r="D5" t="str">
        <f t="shared" si="1"/>
        <v/>
      </c>
      <c r="E5" s="3" t="str">
        <f t="shared" ca="1" si="0"/>
        <v/>
      </c>
    </row>
    <row r="6" spans="1:5" x14ac:dyDescent="0.2">
      <c r="C6" t="str">
        <f>IF(ISNA(_xlfn.RANK.EQ(B6,$B$2:$B$7,1)),"",_xlfn.RANK.EQ(B6,$B$2:$B$7,1))</f>
        <v/>
      </c>
      <c r="D6" t="str">
        <f t="shared" si="1"/>
        <v/>
      </c>
      <c r="E6" s="3" t="str">
        <f t="shared" ca="1" si="0"/>
        <v/>
      </c>
    </row>
    <row r="7" spans="1:5" x14ac:dyDescent="0.2">
      <c r="C7" t="str">
        <f>IF(ISNA(_xlfn.RANK.EQ(B7,$B$2:$B$7,1)),"",_xlfn.RANK.EQ(B7,$B$2:$B$7,1))</f>
        <v/>
      </c>
      <c r="D7" t="str">
        <f t="shared" si="1"/>
        <v/>
      </c>
      <c r="E7" s="3" t="str">
        <f t="shared" ca="1" si="0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18</vt:i4>
      </vt:variant>
    </vt:vector>
  </HeadingPairs>
  <TitlesOfParts>
    <vt:vector size="24" baseType="lpstr">
      <vt:lpstr>Scoresheet Team 1</vt:lpstr>
      <vt:lpstr>Scoresheet Team 2</vt:lpstr>
      <vt:lpstr>Scoresheet Team 3</vt:lpstr>
      <vt:lpstr>Players</vt:lpstr>
      <vt:lpstr>Course &amp; Tourney</vt:lpstr>
      <vt:lpstr>Results</vt:lpstr>
      <vt:lpstr>EntryFees</vt:lpstr>
      <vt:lpstr>HandicapAllowance</vt:lpstr>
      <vt:lpstr>HoleHandicapF</vt:lpstr>
      <vt:lpstr>HoleHandicapM</vt:lpstr>
      <vt:lpstr>HoleInfo</vt:lpstr>
      <vt:lpstr>HoleParF</vt:lpstr>
      <vt:lpstr>HoleParM</vt:lpstr>
      <vt:lpstr>Kitty</vt:lpstr>
      <vt:lpstr>Max_Handicap</vt:lpstr>
      <vt:lpstr>MaxIndex</vt:lpstr>
      <vt:lpstr>MensTees</vt:lpstr>
      <vt:lpstr>PlacePayouts</vt:lpstr>
      <vt:lpstr>PlayerGender</vt:lpstr>
      <vt:lpstr>PlayerHandicaps</vt:lpstr>
      <vt:lpstr>PlayerNames</vt:lpstr>
      <vt:lpstr>PlayerPlayerNo</vt:lpstr>
      <vt:lpstr>PlayerTees</vt:lpstr>
      <vt:lpstr>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2022-09-02T00:08:40Z</cp:lastPrinted>
  <dcterms:created xsi:type="dcterms:W3CDTF">2022-02-19T16:05:31Z</dcterms:created>
  <dcterms:modified xsi:type="dcterms:W3CDTF">2022-09-18T12:16:20Z</dcterms:modified>
</cp:coreProperties>
</file>