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ad's Gaming PC\Documents\John Personal\"/>
    </mc:Choice>
  </mc:AlternateContent>
  <xr:revisionPtr revIDLastSave="0" documentId="13_ncr:1_{12FA29BA-9893-4D92-8702-E9E8DB7DD1E2}" xr6:coauthVersionLast="47" xr6:coauthVersionMax="47" xr10:uidLastSave="{00000000-0000-0000-0000-000000000000}"/>
  <bookViews>
    <workbookView xWindow="-120" yWindow="-120" windowWidth="29040" windowHeight="15840" xr2:uid="{154BBAC1-B773-4CBF-97A2-0D3C1BE39B36}"/>
  </bookViews>
  <sheets>
    <sheet name="2022 March Stableford Scores" sheetId="1" r:id="rId1"/>
    <sheet name="Players" sheetId="2" r:id="rId2"/>
    <sheet name="Course &amp; Tourney" sheetId="3" r:id="rId3"/>
  </sheets>
  <definedNames>
    <definedName name="EntryFees">Players!$E$2:$E$7</definedName>
    <definedName name="Handicap_Allowance">'Course &amp; Tourney'!$B$10</definedName>
    <definedName name="HoleHandicapF">'Course &amp; Tourney'!$I$3:$I$20</definedName>
    <definedName name="HoleHandicapM">'Course &amp; Tourney'!$G$3:$G$20</definedName>
    <definedName name="HoleInfo">'Course &amp; Tourney'!$F$3:$F$20</definedName>
    <definedName name="HoleParF">'Course &amp; Tourney'!$J$3:$J$20</definedName>
    <definedName name="HoleParM">'Course &amp; Tourney'!$H$3:$H$20</definedName>
    <definedName name="Kitty">'Course &amp; Tourney'!$B$14</definedName>
    <definedName name="Max_Handicap">'Course &amp; Tourney'!$B$11</definedName>
    <definedName name="PlacePayouts">'Course &amp; Tourney'!$A$16:$B$21</definedName>
    <definedName name="PlayerGender">Players!$D$2:$D$7</definedName>
    <definedName name="PlayerHandicaps">Players!$B$2:$B$7</definedName>
    <definedName name="PlayerNames">Players!$A$2:$A$7</definedName>
    <definedName name="PlayerPlayerNo">Players!$C$2:$C$7</definedName>
    <definedName name="_xlnm.Print_Area" localSheetId="0">'2022 March Stableford Scores'!$A$1:$X$49</definedName>
    <definedName name="Stableford_Points">'Course &amp; Tourney'!$L$2:$M$15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41" i="1" l="1"/>
  <c r="B42" i="1" a="1"/>
  <c r="B42" i="1"/>
  <c r="C41" i="1"/>
  <c r="C42" i="1" a="1"/>
  <c r="C42" i="1"/>
  <c r="D41" i="1"/>
  <c r="D42" i="1" a="1"/>
  <c r="D42" i="1"/>
  <c r="E41" i="1"/>
  <c r="E42" i="1" a="1"/>
  <c r="E42" i="1"/>
  <c r="F41" i="1"/>
  <c r="F42" i="1" a="1"/>
  <c r="F42" i="1"/>
  <c r="G41" i="1"/>
  <c r="G42" i="1" a="1"/>
  <c r="G42" i="1"/>
  <c r="H41" i="1"/>
  <c r="H42" i="1" a="1"/>
  <c r="H42" i="1"/>
  <c r="I41" i="1"/>
  <c r="I42" i="1" a="1"/>
  <c r="I42" i="1"/>
  <c r="J41" i="1"/>
  <c r="J42" i="1" a="1"/>
  <c r="J42" i="1"/>
  <c r="K41" i="1"/>
  <c r="K42" i="1" a="1"/>
  <c r="K42" i="1"/>
  <c r="L41" i="1"/>
  <c r="L42" i="1" a="1"/>
  <c r="L42" i="1"/>
  <c r="M41" i="1"/>
  <c r="M42" i="1" a="1"/>
  <c r="M42" i="1"/>
  <c r="N41" i="1"/>
  <c r="N42" i="1" a="1"/>
  <c r="N42" i="1"/>
  <c r="O41" i="1"/>
  <c r="O42" i="1" a="1"/>
  <c r="O42" i="1"/>
  <c r="P41" i="1"/>
  <c r="P42" i="1" a="1"/>
  <c r="P42" i="1"/>
  <c r="Q41" i="1"/>
  <c r="Q42" i="1" a="1"/>
  <c r="Q42" i="1"/>
  <c r="R41" i="1"/>
  <c r="R42" i="1" a="1"/>
  <c r="R42" i="1"/>
  <c r="S41" i="1"/>
  <c r="S42" i="1" a="1"/>
  <c r="S42" i="1"/>
  <c r="T42" i="1" a="1"/>
  <c r="T42" i="1"/>
  <c r="U42" i="1"/>
  <c r="B34" i="1"/>
  <c r="B35" i="1" a="1"/>
  <c r="B35" i="1"/>
  <c r="C34" i="1"/>
  <c r="C35" i="1" a="1"/>
  <c r="C35" i="1"/>
  <c r="D34" i="1"/>
  <c r="D35" i="1" a="1"/>
  <c r="D35" i="1"/>
  <c r="E34" i="1"/>
  <c r="E35" i="1" a="1"/>
  <c r="E35" i="1"/>
  <c r="F34" i="1"/>
  <c r="F35" i="1" a="1"/>
  <c r="F35" i="1"/>
  <c r="G34" i="1"/>
  <c r="G35" i="1" a="1"/>
  <c r="G35" i="1"/>
  <c r="H34" i="1"/>
  <c r="H35" i="1" a="1"/>
  <c r="H35" i="1"/>
  <c r="I34" i="1"/>
  <c r="I35" i="1" a="1"/>
  <c r="I35" i="1"/>
  <c r="J34" i="1"/>
  <c r="J35" i="1" a="1"/>
  <c r="J35" i="1"/>
  <c r="K34" i="1"/>
  <c r="K35" i="1" a="1"/>
  <c r="K35" i="1"/>
  <c r="L34" i="1"/>
  <c r="L35" i="1" a="1"/>
  <c r="L35" i="1"/>
  <c r="M34" i="1"/>
  <c r="M35" i="1" a="1"/>
  <c r="M35" i="1"/>
  <c r="N34" i="1"/>
  <c r="N35" i="1" a="1"/>
  <c r="N35" i="1"/>
  <c r="O34" i="1"/>
  <c r="O35" i="1" a="1"/>
  <c r="O35" i="1"/>
  <c r="P34" i="1"/>
  <c r="P35" i="1" a="1"/>
  <c r="P35" i="1"/>
  <c r="Q34" i="1"/>
  <c r="Q35" i="1" a="1"/>
  <c r="Q35" i="1"/>
  <c r="R34" i="1"/>
  <c r="R35" i="1" a="1"/>
  <c r="R35" i="1"/>
  <c r="S34" i="1"/>
  <c r="S35" i="1" a="1"/>
  <c r="S35" i="1"/>
  <c r="T35" i="1" a="1"/>
  <c r="T35" i="1"/>
  <c r="U35" i="1"/>
  <c r="T46" i="1"/>
  <c r="B45" i="1" a="1"/>
  <c r="B45" i="1"/>
  <c r="C45" i="1" a="1"/>
  <c r="C45" i="1"/>
  <c r="D45" i="1"/>
  <c r="A45" i="1" a="1"/>
  <c r="A45" i="1"/>
  <c r="D14" i="2"/>
  <c r="D13" i="2"/>
  <c r="D12" i="2"/>
  <c r="D11" i="2"/>
  <c r="T39" i="1"/>
  <c r="B38" i="1" a="1"/>
  <c r="B38" i="1"/>
  <c r="C38" i="1" a="1"/>
  <c r="C38" i="1"/>
  <c r="D38" i="1"/>
  <c r="A38" i="1" a="1"/>
  <c r="A38" i="1"/>
  <c r="T32" i="1"/>
  <c r="B31" i="1" a="1"/>
  <c r="B31" i="1"/>
  <c r="C31" i="1" a="1"/>
  <c r="C31" i="1"/>
  <c r="D31" i="1"/>
  <c r="A31" i="1" a="1"/>
  <c r="A31" i="1"/>
  <c r="T25" i="1"/>
  <c r="B24" i="1" a="1"/>
  <c r="B24" i="1"/>
  <c r="C24" i="1" a="1"/>
  <c r="C24" i="1"/>
  <c r="D24" i="1"/>
  <c r="A24" i="1" a="1"/>
  <c r="A24" i="1"/>
  <c r="T18" i="1"/>
  <c r="B17" i="1" a="1"/>
  <c r="B17" i="1"/>
  <c r="C17" i="1" a="1"/>
  <c r="C17" i="1"/>
  <c r="D17" i="1"/>
  <c r="O19" i="1" a="1"/>
  <c r="O19" i="1"/>
  <c r="O20" i="1"/>
  <c r="O21" i="1" a="1"/>
  <c r="O21" i="1"/>
  <c r="A17" i="1" a="1"/>
  <c r="A17" i="1"/>
  <c r="B10" i="1" a="1"/>
  <c r="B10" i="1"/>
  <c r="C10" i="1" a="1"/>
  <c r="C10" i="1"/>
  <c r="S7" i="1" a="1"/>
  <c r="S7" i="1"/>
  <c r="R7" i="1" a="1"/>
  <c r="R7" i="1"/>
  <c r="Q7" i="1" a="1"/>
  <c r="Q7" i="1"/>
  <c r="P7" i="1" a="1"/>
  <c r="P7" i="1"/>
  <c r="O7" i="1" a="1"/>
  <c r="O7" i="1"/>
  <c r="N7" i="1" a="1"/>
  <c r="N7" i="1"/>
  <c r="M7" i="1" a="1"/>
  <c r="M7" i="1"/>
  <c r="L7" i="1" a="1"/>
  <c r="L7" i="1"/>
  <c r="K7" i="1" a="1"/>
  <c r="K7" i="1"/>
  <c r="J7" i="1" a="1"/>
  <c r="J7" i="1"/>
  <c r="I7" i="1" a="1"/>
  <c r="I7" i="1"/>
  <c r="H7" i="1" a="1"/>
  <c r="H7" i="1"/>
  <c r="G7" i="1" a="1"/>
  <c r="G7" i="1"/>
  <c r="F7" i="1" a="1"/>
  <c r="F7" i="1"/>
  <c r="E7" i="1" a="1"/>
  <c r="E7" i="1"/>
  <c r="D7" i="1" a="1"/>
  <c r="D7" i="1"/>
  <c r="C7" i="1" a="1"/>
  <c r="C7" i="1"/>
  <c r="B7" i="1" a="1"/>
  <c r="B7" i="1"/>
  <c r="S5" i="1" a="1"/>
  <c r="S5" i="1"/>
  <c r="R5" i="1" a="1"/>
  <c r="R5" i="1"/>
  <c r="Q5" i="1" a="1"/>
  <c r="Q5" i="1"/>
  <c r="P5" i="1" a="1"/>
  <c r="P5" i="1"/>
  <c r="O5" i="1" a="1"/>
  <c r="O5" i="1"/>
  <c r="N5" i="1" a="1"/>
  <c r="N5" i="1"/>
  <c r="M5" i="1" a="1"/>
  <c r="M5" i="1"/>
  <c r="L5" i="1" a="1"/>
  <c r="L5" i="1"/>
  <c r="K5" i="1" a="1"/>
  <c r="K5" i="1"/>
  <c r="J5" i="1" a="1"/>
  <c r="J5" i="1"/>
  <c r="I5" i="1" a="1"/>
  <c r="I5" i="1"/>
  <c r="H5" i="1" a="1"/>
  <c r="H5" i="1"/>
  <c r="G5" i="1" a="1"/>
  <c r="G5" i="1"/>
  <c r="F5" i="1" a="1"/>
  <c r="F5" i="1"/>
  <c r="E5" i="1" a="1"/>
  <c r="E5" i="1"/>
  <c r="D5" i="1" a="1"/>
  <c r="D5" i="1"/>
  <c r="C5" i="1" a="1"/>
  <c r="C5" i="1"/>
  <c r="B5" i="1" a="1"/>
  <c r="B5" i="1"/>
  <c r="S6" i="1" a="1"/>
  <c r="S6" i="1"/>
  <c r="R6" i="1" a="1"/>
  <c r="R6" i="1"/>
  <c r="Q6" i="1" a="1"/>
  <c r="Q6" i="1"/>
  <c r="P6" i="1" a="1"/>
  <c r="P6" i="1"/>
  <c r="O6" i="1" a="1"/>
  <c r="O6" i="1"/>
  <c r="N6" i="1" a="1"/>
  <c r="N6" i="1"/>
  <c r="M6" i="1" a="1"/>
  <c r="M6" i="1"/>
  <c r="L6" i="1" a="1"/>
  <c r="L6" i="1"/>
  <c r="K6" i="1" a="1"/>
  <c r="K6" i="1"/>
  <c r="J6" i="1" a="1"/>
  <c r="J6" i="1"/>
  <c r="I6" i="1" a="1"/>
  <c r="I6" i="1"/>
  <c r="H6" i="1" a="1"/>
  <c r="H6" i="1"/>
  <c r="G6" i="1" a="1"/>
  <c r="G6" i="1"/>
  <c r="F6" i="1" a="1"/>
  <c r="F6" i="1"/>
  <c r="E6" i="1" a="1"/>
  <c r="E6" i="1"/>
  <c r="D6" i="1" a="1"/>
  <c r="D6" i="1"/>
  <c r="C6" i="1" a="1"/>
  <c r="C6" i="1"/>
  <c r="B6" i="1" a="1"/>
  <c r="B6" i="1"/>
  <c r="S4" i="1" a="1"/>
  <c r="S4" i="1"/>
  <c r="R4" i="1" a="1"/>
  <c r="R4" i="1"/>
  <c r="Q4" i="1" a="1"/>
  <c r="Q4" i="1"/>
  <c r="P4" i="1" a="1"/>
  <c r="P4" i="1"/>
  <c r="O4" i="1" a="1"/>
  <c r="O4" i="1"/>
  <c r="N4" i="1" a="1"/>
  <c r="N4" i="1"/>
  <c r="M4" i="1" a="1"/>
  <c r="M4" i="1"/>
  <c r="L4" i="1" a="1"/>
  <c r="L4" i="1"/>
  <c r="K4" i="1" a="1"/>
  <c r="K4" i="1"/>
  <c r="J4" i="1" a="1"/>
  <c r="J4" i="1"/>
  <c r="I4" i="1" a="1"/>
  <c r="I4" i="1"/>
  <c r="H4" i="1" a="1"/>
  <c r="H4" i="1"/>
  <c r="G4" i="1" a="1"/>
  <c r="G4" i="1"/>
  <c r="F4" i="1" a="1"/>
  <c r="F4" i="1"/>
  <c r="E4" i="1" a="1"/>
  <c r="E4" i="1"/>
  <c r="D4" i="1" a="1"/>
  <c r="D4" i="1"/>
  <c r="C4" i="1" a="1"/>
  <c r="C4" i="1"/>
  <c r="B4" i="1" a="1"/>
  <c r="B4" i="1"/>
  <c r="A10" i="1" a="1"/>
  <c r="A10" i="1"/>
  <c r="A12" i="1"/>
  <c r="T11" i="1"/>
  <c r="R47" i="1" a="1"/>
  <c r="R47" i="1"/>
  <c r="R48" i="1"/>
  <c r="R49" i="1" a="1"/>
  <c r="R49" i="1"/>
  <c r="N47" i="1" a="1"/>
  <c r="N47" i="1"/>
  <c r="N48" i="1"/>
  <c r="N49" i="1" a="1"/>
  <c r="N49" i="1"/>
  <c r="J47" i="1" a="1"/>
  <c r="J47" i="1"/>
  <c r="J48" i="1"/>
  <c r="J49" i="1" a="1"/>
  <c r="J49" i="1"/>
  <c r="F47" i="1" a="1"/>
  <c r="F47" i="1"/>
  <c r="F48" i="1"/>
  <c r="F49" i="1" a="1"/>
  <c r="F49" i="1"/>
  <c r="B47" i="1" a="1"/>
  <c r="B47" i="1"/>
  <c r="Q47" i="1" a="1"/>
  <c r="Q47" i="1"/>
  <c r="Q48" i="1"/>
  <c r="Q49" i="1" a="1"/>
  <c r="Q49" i="1"/>
  <c r="E47" i="1" a="1"/>
  <c r="E47" i="1"/>
  <c r="E48" i="1"/>
  <c r="E49" i="1" a="1"/>
  <c r="E49" i="1"/>
  <c r="M47" i="1" a="1"/>
  <c r="M47" i="1"/>
  <c r="M48" i="1"/>
  <c r="M49" i="1" a="1"/>
  <c r="M49" i="1"/>
  <c r="I47" i="1" a="1"/>
  <c r="I47" i="1"/>
  <c r="I48" i="1"/>
  <c r="I49" i="1" a="1"/>
  <c r="I49" i="1"/>
  <c r="L47" i="1" a="1"/>
  <c r="L47" i="1"/>
  <c r="L48" i="1"/>
  <c r="L49" i="1" a="1"/>
  <c r="L49" i="1"/>
  <c r="H47" i="1" a="1"/>
  <c r="H47" i="1"/>
  <c r="H48" i="1"/>
  <c r="H49" i="1" a="1"/>
  <c r="H49" i="1"/>
  <c r="P47" i="1" a="1"/>
  <c r="P47" i="1"/>
  <c r="P48" i="1"/>
  <c r="P49" i="1" a="1"/>
  <c r="P49" i="1"/>
  <c r="D47" i="1" a="1"/>
  <c r="D47" i="1"/>
  <c r="D48" i="1"/>
  <c r="D49" i="1" a="1"/>
  <c r="D49" i="1"/>
  <c r="S47" i="1" a="1"/>
  <c r="S47" i="1"/>
  <c r="S48" i="1"/>
  <c r="S49" i="1" a="1"/>
  <c r="S49" i="1"/>
  <c r="K47" i="1" a="1"/>
  <c r="K47" i="1"/>
  <c r="K48" i="1"/>
  <c r="K49" i="1" a="1"/>
  <c r="K49" i="1"/>
  <c r="C47" i="1" a="1"/>
  <c r="C47" i="1"/>
  <c r="C48" i="1"/>
  <c r="C49" i="1" a="1"/>
  <c r="C49" i="1"/>
  <c r="O47" i="1" a="1"/>
  <c r="O47" i="1"/>
  <c r="O48" i="1"/>
  <c r="O49" i="1" a="1"/>
  <c r="O49" i="1"/>
  <c r="G47" i="1" a="1"/>
  <c r="G47" i="1"/>
  <c r="G48" i="1"/>
  <c r="G49" i="1" a="1"/>
  <c r="G49" i="1"/>
  <c r="A49" i="1"/>
  <c r="A48" i="1"/>
  <c r="A47" i="1"/>
  <c r="A46" i="1"/>
  <c r="A42" i="1"/>
  <c r="A40" i="1"/>
  <c r="A41" i="1"/>
  <c r="A39" i="1"/>
  <c r="S40" i="1" a="1"/>
  <c r="S40" i="1"/>
  <c r="O40" i="1" a="1"/>
  <c r="O40" i="1"/>
  <c r="K40" i="1" a="1"/>
  <c r="K40" i="1"/>
  <c r="G40" i="1" a="1"/>
  <c r="G40" i="1"/>
  <c r="C40" i="1" a="1"/>
  <c r="C40" i="1"/>
  <c r="R40" i="1" a="1"/>
  <c r="R40" i="1"/>
  <c r="N40" i="1" a="1"/>
  <c r="N40" i="1"/>
  <c r="J40" i="1" a="1"/>
  <c r="J40" i="1"/>
  <c r="F40" i="1" a="1"/>
  <c r="F40" i="1"/>
  <c r="B40" i="1" a="1"/>
  <c r="B40" i="1"/>
  <c r="Q40" i="1" a="1"/>
  <c r="Q40" i="1"/>
  <c r="M40" i="1" a="1"/>
  <c r="M40" i="1"/>
  <c r="I40" i="1" a="1"/>
  <c r="I40" i="1"/>
  <c r="E40" i="1" a="1"/>
  <c r="E40" i="1"/>
  <c r="P40" i="1" a="1"/>
  <c r="P40" i="1"/>
  <c r="L40" i="1" a="1"/>
  <c r="L40" i="1"/>
  <c r="H40" i="1" a="1"/>
  <c r="H40" i="1"/>
  <c r="D40" i="1" a="1"/>
  <c r="D40" i="1"/>
  <c r="A35" i="1"/>
  <c r="A34" i="1"/>
  <c r="A32" i="1"/>
  <c r="A33" i="1"/>
  <c r="S33" i="1" a="1"/>
  <c r="S33" i="1"/>
  <c r="O33" i="1" a="1"/>
  <c r="O33" i="1"/>
  <c r="K33" i="1" a="1"/>
  <c r="K33" i="1"/>
  <c r="G33" i="1" a="1"/>
  <c r="G33" i="1"/>
  <c r="C33" i="1" a="1"/>
  <c r="C33" i="1"/>
  <c r="N33" i="1" a="1"/>
  <c r="N33" i="1"/>
  <c r="B33" i="1" a="1"/>
  <c r="B33" i="1"/>
  <c r="M33" i="1" a="1"/>
  <c r="M33" i="1"/>
  <c r="E33" i="1" a="1"/>
  <c r="E33" i="1"/>
  <c r="R33" i="1" a="1"/>
  <c r="R33" i="1"/>
  <c r="J33" i="1" a="1"/>
  <c r="J33" i="1"/>
  <c r="F33" i="1" a="1"/>
  <c r="F33" i="1"/>
  <c r="Q33" i="1" a="1"/>
  <c r="Q33" i="1"/>
  <c r="I33" i="1" a="1"/>
  <c r="I33" i="1"/>
  <c r="P33" i="1" a="1"/>
  <c r="P33" i="1"/>
  <c r="L33" i="1" a="1"/>
  <c r="L33" i="1"/>
  <c r="H33" i="1" a="1"/>
  <c r="H33" i="1"/>
  <c r="D33" i="1" a="1"/>
  <c r="D33" i="1"/>
  <c r="A27" i="1"/>
  <c r="A25" i="1"/>
  <c r="A28" i="1"/>
  <c r="A26" i="1"/>
  <c r="Q26" i="1" a="1"/>
  <c r="Q26" i="1"/>
  <c r="Q27" i="1"/>
  <c r="Q28" i="1" a="1"/>
  <c r="Q28" i="1"/>
  <c r="M26" i="1" a="1"/>
  <c r="M26" i="1"/>
  <c r="M27" i="1"/>
  <c r="M28" i="1" a="1"/>
  <c r="M28" i="1"/>
  <c r="I26" i="1" a="1"/>
  <c r="I26" i="1"/>
  <c r="I27" i="1"/>
  <c r="I28" i="1" a="1"/>
  <c r="I28" i="1"/>
  <c r="E26" i="1" a="1"/>
  <c r="E26" i="1"/>
  <c r="E27" i="1"/>
  <c r="E28" i="1" a="1"/>
  <c r="E28" i="1"/>
  <c r="P26" i="1" a="1"/>
  <c r="P26" i="1"/>
  <c r="P27" i="1"/>
  <c r="P28" i="1" a="1"/>
  <c r="P28" i="1"/>
  <c r="L26" i="1" a="1"/>
  <c r="L26" i="1"/>
  <c r="L27" i="1"/>
  <c r="L28" i="1" a="1"/>
  <c r="L28" i="1"/>
  <c r="H26" i="1" a="1"/>
  <c r="H26" i="1"/>
  <c r="H27" i="1"/>
  <c r="H28" i="1" a="1"/>
  <c r="H28" i="1"/>
  <c r="D26" i="1" a="1"/>
  <c r="D26" i="1"/>
  <c r="D27" i="1"/>
  <c r="D28" i="1" a="1"/>
  <c r="D28" i="1"/>
  <c r="J26" i="1" a="1"/>
  <c r="J26" i="1"/>
  <c r="J27" i="1"/>
  <c r="J28" i="1" a="1"/>
  <c r="J28" i="1"/>
  <c r="S26" i="1" a="1"/>
  <c r="S26" i="1"/>
  <c r="S27" i="1"/>
  <c r="S28" i="1" a="1"/>
  <c r="S28" i="1"/>
  <c r="O26" i="1" a="1"/>
  <c r="O26" i="1"/>
  <c r="O27" i="1"/>
  <c r="O28" i="1" a="1"/>
  <c r="O28" i="1"/>
  <c r="K26" i="1" a="1"/>
  <c r="K26" i="1"/>
  <c r="K27" i="1"/>
  <c r="K28" i="1" a="1"/>
  <c r="K28" i="1"/>
  <c r="G26" i="1" a="1"/>
  <c r="G26" i="1"/>
  <c r="G27" i="1"/>
  <c r="G28" i="1" a="1"/>
  <c r="G28" i="1"/>
  <c r="C26" i="1" a="1"/>
  <c r="C26" i="1"/>
  <c r="C27" i="1"/>
  <c r="C28" i="1" a="1"/>
  <c r="C28" i="1"/>
  <c r="R26" i="1" a="1"/>
  <c r="R26" i="1"/>
  <c r="R27" i="1"/>
  <c r="R28" i="1" a="1"/>
  <c r="R28" i="1"/>
  <c r="N26" i="1" a="1"/>
  <c r="N26" i="1"/>
  <c r="N27" i="1"/>
  <c r="N28" i="1" a="1"/>
  <c r="N28" i="1"/>
  <c r="F26" i="1" a="1"/>
  <c r="F26" i="1"/>
  <c r="F27" i="1"/>
  <c r="F28" i="1" a="1"/>
  <c r="F28" i="1"/>
  <c r="B26" i="1" a="1"/>
  <c r="B26" i="1"/>
  <c r="H19" i="1" a="1"/>
  <c r="H19" i="1"/>
  <c r="H20" i="1"/>
  <c r="H21" i="1" a="1"/>
  <c r="H21" i="1"/>
  <c r="P19" i="1" a="1"/>
  <c r="P19" i="1"/>
  <c r="P20" i="1"/>
  <c r="P21" i="1" a="1"/>
  <c r="P21" i="1"/>
  <c r="I19" i="1" a="1"/>
  <c r="I19" i="1"/>
  <c r="I20" i="1"/>
  <c r="I21" i="1" a="1"/>
  <c r="I21" i="1"/>
  <c r="Q19" i="1" a="1"/>
  <c r="Q19" i="1"/>
  <c r="Q20" i="1"/>
  <c r="Q21" i="1" a="1"/>
  <c r="Q21" i="1"/>
  <c r="B19" i="1" a="1"/>
  <c r="B19" i="1"/>
  <c r="B20" i="1"/>
  <c r="B21" i="1" a="1"/>
  <c r="B21" i="1"/>
  <c r="J19" i="1" a="1"/>
  <c r="J19" i="1"/>
  <c r="J20" i="1"/>
  <c r="J21" i="1" a="1"/>
  <c r="J21" i="1"/>
  <c r="R19" i="1" a="1"/>
  <c r="R19" i="1"/>
  <c r="R20" i="1"/>
  <c r="R21" i="1" a="1"/>
  <c r="R21" i="1"/>
  <c r="C19" i="1" a="1"/>
  <c r="C19" i="1"/>
  <c r="C20" i="1"/>
  <c r="C21" i="1" a="1"/>
  <c r="C21" i="1"/>
  <c r="K19" i="1" a="1"/>
  <c r="K19" i="1"/>
  <c r="K20" i="1"/>
  <c r="K21" i="1" a="1"/>
  <c r="K21" i="1"/>
  <c r="S19" i="1" a="1"/>
  <c r="S19" i="1"/>
  <c r="S20" i="1"/>
  <c r="S21" i="1" a="1"/>
  <c r="S21" i="1"/>
  <c r="D19" i="1" a="1"/>
  <c r="D19" i="1"/>
  <c r="D20" i="1"/>
  <c r="D21" i="1" a="1"/>
  <c r="D21" i="1"/>
  <c r="L19" i="1" a="1"/>
  <c r="L19" i="1"/>
  <c r="L20" i="1"/>
  <c r="L21" i="1" a="1"/>
  <c r="L21" i="1"/>
  <c r="E19" i="1" a="1"/>
  <c r="E19" i="1"/>
  <c r="E20" i="1"/>
  <c r="E21" i="1" a="1"/>
  <c r="E21" i="1"/>
  <c r="M19" i="1" a="1"/>
  <c r="M19" i="1"/>
  <c r="M20" i="1"/>
  <c r="M21" i="1" a="1"/>
  <c r="M21" i="1"/>
  <c r="F19" i="1" a="1"/>
  <c r="F19" i="1"/>
  <c r="F20" i="1"/>
  <c r="F21" i="1" a="1"/>
  <c r="F21" i="1"/>
  <c r="N19" i="1" a="1"/>
  <c r="N19" i="1"/>
  <c r="N20" i="1"/>
  <c r="N21" i="1" a="1"/>
  <c r="N21" i="1"/>
  <c r="G19" i="1" a="1"/>
  <c r="G19" i="1"/>
  <c r="G20" i="1"/>
  <c r="G21" i="1" a="1"/>
  <c r="G21" i="1"/>
  <c r="A20" i="1"/>
  <c r="A18" i="1"/>
  <c r="A21" i="1"/>
  <c r="A19" i="1"/>
  <c r="D10" i="1"/>
  <c r="T6" i="1"/>
  <c r="T4" i="1"/>
  <c r="A13" i="1"/>
  <c r="A14" i="1"/>
  <c r="A11" i="1"/>
  <c r="J21" i="3"/>
  <c r="H21" i="3"/>
  <c r="B14" i="3"/>
  <c r="T21" i="1" a="1"/>
  <c r="T21" i="1"/>
  <c r="U21" i="1"/>
  <c r="C12" i="1" a="1"/>
  <c r="C12" i="1"/>
  <c r="P12" i="1" a="1"/>
  <c r="P12" i="1"/>
  <c r="P13" i="1"/>
  <c r="P14" i="1" a="1"/>
  <c r="P14" i="1"/>
  <c r="D12" i="1" a="1"/>
  <c r="D12" i="1"/>
  <c r="J12" i="1" a="1"/>
  <c r="J12" i="1"/>
  <c r="Q12" i="1" a="1"/>
  <c r="Q12" i="1"/>
  <c r="Q13" i="1"/>
  <c r="Q14" i="1" a="1"/>
  <c r="Q14" i="1"/>
  <c r="B12" i="1" a="1"/>
  <c r="B12" i="1"/>
  <c r="E12" i="1" a="1"/>
  <c r="E12" i="1"/>
  <c r="E13" i="1"/>
  <c r="E14" i="1" a="1"/>
  <c r="E14" i="1"/>
  <c r="K12" i="1" a="1"/>
  <c r="K12" i="1"/>
  <c r="K13" i="1"/>
  <c r="K14" i="1" a="1"/>
  <c r="K14" i="1"/>
  <c r="R12" i="1" a="1"/>
  <c r="R12" i="1"/>
  <c r="L12" i="1" a="1"/>
  <c r="L12" i="1"/>
  <c r="L13" i="1"/>
  <c r="L14" i="1" a="1"/>
  <c r="L14" i="1"/>
  <c r="S12" i="1" a="1"/>
  <c r="S12" i="1"/>
  <c r="F12" i="1" a="1"/>
  <c r="F12" i="1"/>
  <c r="F13" i="1"/>
  <c r="F14" i="1" a="1"/>
  <c r="F14" i="1"/>
  <c r="M12" i="1" a="1"/>
  <c r="M12" i="1"/>
  <c r="M13" i="1"/>
  <c r="M14" i="1" a="1"/>
  <c r="M14" i="1"/>
  <c r="G12" i="1" a="1"/>
  <c r="G12" i="1"/>
  <c r="G13" i="1"/>
  <c r="G14" i="1" a="1"/>
  <c r="G14" i="1"/>
  <c r="H12" i="1" a="1"/>
  <c r="H12" i="1"/>
  <c r="H13" i="1"/>
  <c r="H14" i="1" a="1"/>
  <c r="H14" i="1"/>
  <c r="N12" i="1" a="1"/>
  <c r="N12" i="1"/>
  <c r="N13" i="1"/>
  <c r="N14" i="1" a="1"/>
  <c r="N14" i="1"/>
  <c r="I12" i="1" a="1"/>
  <c r="I12" i="1"/>
  <c r="O12" i="1" a="1"/>
  <c r="O12" i="1"/>
  <c r="O13" i="1"/>
  <c r="O14" i="1" a="1"/>
  <c r="O14" i="1"/>
  <c r="B48" i="1"/>
  <c r="T47" i="1"/>
  <c r="T40" i="1"/>
  <c r="T33" i="1"/>
  <c r="B27" i="1"/>
  <c r="T26" i="1"/>
  <c r="D13" i="1"/>
  <c r="D14" i="1" a="1"/>
  <c r="D14" i="1"/>
  <c r="C13" i="1"/>
  <c r="C14" i="1" a="1"/>
  <c r="C14" i="1"/>
  <c r="R13" i="1"/>
  <c r="R14" i="1" a="1"/>
  <c r="R14" i="1"/>
  <c r="J13" i="1"/>
  <c r="J14" i="1" a="1"/>
  <c r="J14" i="1"/>
  <c r="B13" i="1"/>
  <c r="B14" i="1" a="1"/>
  <c r="B14" i="1"/>
  <c r="T19" i="1"/>
  <c r="S13" i="1"/>
  <c r="S14" i="1" a="1"/>
  <c r="S14" i="1"/>
  <c r="I13" i="1"/>
  <c r="I14" i="1" a="1"/>
  <c r="I14" i="1"/>
  <c r="T14" i="1" a="1"/>
  <c r="T14" i="1"/>
  <c r="U14" i="1"/>
  <c r="T12" i="1"/>
  <c r="B49" i="1" a="1"/>
  <c r="B49" i="1"/>
  <c r="T49" i="1" a="1"/>
  <c r="T49" i="1"/>
  <c r="U49" i="1"/>
  <c r="T48" i="1"/>
  <c r="T41" i="1"/>
  <c r="T34" i="1"/>
  <c r="B28" i="1" a="1"/>
  <c r="B28" i="1"/>
  <c r="T28" i="1" a="1"/>
  <c r="T28" i="1"/>
  <c r="U28" i="1"/>
  <c r="T27" i="1"/>
  <c r="T20" i="1"/>
  <c r="V35" i="1"/>
  <c r="T13" i="1"/>
  <c r="V49" i="1"/>
  <c r="V42" i="1"/>
  <c r="V28" i="1"/>
  <c r="V14" i="1"/>
  <c r="V21" i="1"/>
  <c r="W35" i="1"/>
  <c r="X35" i="1"/>
  <c r="X49" i="1"/>
  <c r="W49" i="1"/>
  <c r="X21" i="1"/>
  <c r="W14" i="1"/>
  <c r="X42" i="1"/>
  <c r="W42" i="1"/>
  <c r="W21" i="1"/>
  <c r="X14" i="1"/>
  <c r="X28" i="1"/>
  <c r="W2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<sst xmlns="http://schemas.openxmlformats.org/spreadsheetml/2006/main" count="92" uniqueCount="59">
  <si>
    <t>Index</t>
  </si>
  <si>
    <t>Hole</t>
  </si>
  <si>
    <t>John Allen</t>
  </si>
  <si>
    <t>Rank</t>
  </si>
  <si>
    <t>Totals</t>
  </si>
  <si>
    <t>HI</t>
  </si>
  <si>
    <t>Player</t>
  </si>
  <si>
    <t>Course</t>
  </si>
  <si>
    <t>Men's Tee</t>
  </si>
  <si>
    <t>Men's Tee Slope</t>
  </si>
  <si>
    <t>Men's Tee Course Rating</t>
  </si>
  <si>
    <t>Women's Tee Slope</t>
  </si>
  <si>
    <t>Men's Par</t>
  </si>
  <si>
    <t>Women's Tee Course Rating</t>
  </si>
  <si>
    <t>Women's Tee Par</t>
  </si>
  <si>
    <t>Gender for Golf</t>
  </si>
  <si>
    <t>M</t>
  </si>
  <si>
    <t>Handicap Allowance</t>
  </si>
  <si>
    <t>Allowance</t>
  </si>
  <si>
    <t>Women's Tee</t>
  </si>
  <si>
    <t>Payout</t>
  </si>
  <si>
    <t>Payouts</t>
  </si>
  <si>
    <t>Kitty</t>
  </si>
  <si>
    <t>Place</t>
  </si>
  <si>
    <t>Amount</t>
  </si>
  <si>
    <t>Scott O'Hare</t>
  </si>
  <si>
    <t>MAST Entry</t>
  </si>
  <si>
    <t>Holes</t>
  </si>
  <si>
    <t>Handicap</t>
  </si>
  <si>
    <t>Par</t>
  </si>
  <si>
    <t>Men's</t>
  </si>
  <si>
    <t>Women's</t>
  </si>
  <si>
    <t>Total</t>
  </si>
  <si>
    <t>Todd Creek Golf Course</t>
  </si>
  <si>
    <t>Blue</t>
  </si>
  <si>
    <t>Red</t>
  </si>
  <si>
    <t>Mike Bull</t>
  </si>
  <si>
    <t>Travis Hubbard</t>
  </si>
  <si>
    <t>Curt Balcerzak</t>
  </si>
  <si>
    <t>Course HCP</t>
  </si>
  <si>
    <t>Stableford Points</t>
  </si>
  <si>
    <t>Player 1</t>
  </si>
  <si>
    <t>Ladies' Par</t>
  </si>
  <si>
    <t>Mens' Par</t>
  </si>
  <si>
    <t>Mens' Hole Handicap</t>
  </si>
  <si>
    <t>Ladies' Hole Handicap</t>
  </si>
  <si>
    <t>Max Handicap</t>
  </si>
  <si>
    <t>Player 2</t>
  </si>
  <si>
    <t>Player 3</t>
  </si>
  <si>
    <t>Stableford
Totals</t>
  </si>
  <si>
    <t>Player 4</t>
  </si>
  <si>
    <t>Player 5</t>
  </si>
  <si>
    <t>2022 March Stableford at Todd Creek Golf Course</t>
  </si>
  <si>
    <t>Andrew Blunk</t>
  </si>
  <si>
    <t>Gross</t>
  </si>
  <si>
    <t>Slope</t>
  </si>
  <si>
    <t>Differentials</t>
  </si>
  <si>
    <t>Player 6</t>
  </si>
  <si>
    <t>Andrew handicap calc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</si>
</sst>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$&quot;#,##0_);[Red]\(&quot;$&quot;#,##0\)"/>
    <numFmt numFmtId="164" formatCode="0;\-0;;@"/>
  </numFmts>
  <fonts count="2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49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1" fontId="0" fillId="0" borderId="0" xfId="0" applyNumberFormat="1"/>
    <xf numFmtId="9" fontId="0" fillId="0" borderId="0" xfId="0" applyNumberFormat="1"/>
    <xf numFmtId="9" fontId="0" fillId="0" borderId="0" xfId="0" applyNumberFormat="1" applyAlignment="1">
      <alignment wrapText="1"/>
    </xf>
    <xf numFmtId="0" fontId="0" fillId="0" borderId="0" xfId="0" applyAlignment="1"/>
    <xf numFmtId="0" fontId="1" fillId="0" borderId="0" xfId="0" applyFont="1"/>
    <xf numFmtId="9" fontId="1" fillId="0" borderId="0" xfId="0" applyNumberFormat="1" applyFont="1" applyAlignment="1">
      <alignment wrapText="1"/>
    </xf>
    <xf numFmtId="0" fontId="1" fillId="0" borderId="0" xfId="0" applyFont="1" applyAlignment="1"/>
    <xf numFmtId="49" fontId="1" fillId="0" borderId="0" xfId="0" applyNumberFormat="1" applyFont="1" applyAlignment="1">
      <alignment horizontal="center"/>
    </xf>
    <xf numFmtId="1" fontId="1" fillId="0" borderId="0" xfId="0" applyNumberFormat="1" applyFont="1" applyAlignment="1">
      <alignment horizontal="center"/>
    </xf>
    <xf numFmtId="1" fontId="1" fillId="0" borderId="0" xfId="0" applyNumberFormat="1" applyFont="1"/>
    <xf numFmtId="0" fontId="1" fillId="0" borderId="0" xfId="0" applyFont="1" applyAlignment="1">
      <alignment wrapText="1"/>
    </xf>
    <xf numFmtId="6" fontId="0" fillId="0" borderId="0" xfId="0" applyNumberFormat="1"/>
    <xf numFmtId="0" fontId="1" fillId="0" borderId="0" xfId="0" applyFont="1" applyAlignment="1">
      <alignment horizontal="left"/>
    </xf>
    <xf numFmtId="1" fontId="1" fillId="0" borderId="0" xfId="0" applyNumberFormat="1" applyFont="1" applyAlignment="1">
      <alignment horizontal="left"/>
    </xf>
    <xf numFmtId="0" fontId="0" fillId="0" borderId="0" xfId="0" applyAlignment="1">
      <alignment horizontal="left"/>
    </xf>
    <xf numFmtId="1" fontId="0" fillId="0" borderId="0" xfId="0" applyNumberFormat="1" applyAlignment="1">
      <alignment horizontal="left"/>
    </xf>
    <xf numFmtId="0" fontId="1" fillId="0" borderId="0" xfId="0" quotePrefix="1" applyFont="1"/>
    <xf numFmtId="164" fontId="1" fillId="0" borderId="0" xfId="0" applyNumberFormat="1" applyFont="1"/>
    <xf numFmtId="0" fontId="1" fillId="0" borderId="0" xfId="0" applyNumberFormat="1" applyFont="1" applyAlignment="1">
      <alignment horizontal="center"/>
    </xf>
  </cellXfs>
  <cellStyles count="1">
    <cellStyle name="Normal" xfId="0" builtinId="0"/>
  </cellStyles>
  <dxfs count="1"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2D941B-5DDC-4A97-B9AF-4A6C197B2961}">
  <sheetPr>
    <pageSetUpPr fitToPage="1"/>
  </sheetPr>
  <dimension ref="A1:X91"/>
  <sheetViews>
    <sheetView tabSelected="1" zoomScaleNormal="100" workbookViewId="0">
      <selection activeCell="L16" sqref="L16"/>
    </sheetView>
  </sheetViews>
  <sheetFormatPr defaultRowHeight="15" x14ac:dyDescent="0.25"/>
  <cols>
    <col min="1" max="1" width="31.28515625" customWidth="1"/>
    <col min="2" max="2" width="5.7109375" customWidth="1"/>
    <col min="3" max="3" width="7.140625" bestFit="1" customWidth="1"/>
    <col min="4" max="19" width="5.7109375" customWidth="1"/>
    <col min="20" max="20" width="7.140625" customWidth="1"/>
    <col min="21" max="21" width="10.28515625" bestFit="1" customWidth="1"/>
    <col min="22" max="22" width="9" style="17" bestFit="1" customWidth="1"/>
    <col min="23" max="23" width="6" bestFit="1" customWidth="1"/>
  </cols>
  <sheetData>
    <row r="1" spans="1:24" ht="15.75" x14ac:dyDescent="0.25">
      <c r="A1" s="7" t="s">
        <v>52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15"/>
      <c r="W1" s="7"/>
    </row>
    <row r="2" spans="1:24" ht="15.75" x14ac:dyDescent="0.25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15"/>
      <c r="W2" s="7"/>
    </row>
    <row r="3" spans="1:24" ht="15.75" x14ac:dyDescent="0.25">
      <c r="A3" s="7" t="s">
        <v>1</v>
      </c>
      <c r="B3" s="10">
        <v>1</v>
      </c>
      <c r="C3" s="10">
        <v>2</v>
      </c>
      <c r="D3" s="10">
        <v>3</v>
      </c>
      <c r="E3" s="10">
        <v>4</v>
      </c>
      <c r="F3" s="10">
        <v>5</v>
      </c>
      <c r="G3" s="10">
        <v>6</v>
      </c>
      <c r="H3" s="10">
        <v>7</v>
      </c>
      <c r="I3" s="10">
        <v>8</v>
      </c>
      <c r="J3" s="10">
        <v>9</v>
      </c>
      <c r="K3" s="10">
        <v>10</v>
      </c>
      <c r="L3" s="10">
        <v>11</v>
      </c>
      <c r="M3" s="10">
        <v>12</v>
      </c>
      <c r="N3" s="10">
        <v>13</v>
      </c>
      <c r="O3" s="10">
        <v>14</v>
      </c>
      <c r="P3" s="10">
        <v>15</v>
      </c>
      <c r="Q3" s="10">
        <v>16</v>
      </c>
      <c r="R3" s="10">
        <v>17</v>
      </c>
      <c r="S3" s="10">
        <v>18</v>
      </c>
      <c r="T3" s="7" t="s">
        <v>32</v>
      </c>
      <c r="U3" s="7"/>
      <c r="V3" s="15"/>
      <c r="W3" s="7"/>
    </row>
    <row r="4" spans="1:24" ht="15.75" x14ac:dyDescent="0.25">
      <c r="A4" s="7" t="s">
        <v>43</v>
      </c>
      <c r="B4" s="21" cm="1">
        <f t="array" ref="B4">INDEX(HoleParM,B3,0)</f>
        <v>4</v>
      </c>
      <c r="C4" s="21" cm="1">
        <f t="array" ref="C4">INDEX(HoleParM,C3,0)</f>
        <v>4</v>
      </c>
      <c r="D4" s="21" cm="1">
        <f t="array" ref="D4">INDEX(HoleParM,D3,0)</f>
        <v>3</v>
      </c>
      <c r="E4" s="21" cm="1">
        <f t="array" ref="E4">INDEX(HoleParM,E3,0)</f>
        <v>5</v>
      </c>
      <c r="F4" s="21" cm="1">
        <f t="array" ref="F4">INDEX(HoleParM,F3,0)</f>
        <v>4</v>
      </c>
      <c r="G4" s="21" cm="1">
        <f t="array" ref="G4">INDEX(HoleParM,G3,0)</f>
        <v>4</v>
      </c>
      <c r="H4" s="21" cm="1">
        <f t="array" ref="H4">INDEX(HoleParM,H3,0)</f>
        <v>3</v>
      </c>
      <c r="I4" s="21" cm="1">
        <f t="array" ref="I4">INDEX(HoleParM,I3,0)</f>
        <v>5</v>
      </c>
      <c r="J4" s="21" cm="1">
        <f t="array" ref="J4">INDEX(HoleParM,J3,0)</f>
        <v>4</v>
      </c>
      <c r="K4" s="21" cm="1">
        <f t="array" ref="K4">INDEX(HoleParM,K3,0)</f>
        <v>4</v>
      </c>
      <c r="L4" s="21" cm="1">
        <f t="array" ref="L4">INDEX(HoleParM,L3,0)</f>
        <v>3</v>
      </c>
      <c r="M4" s="21" cm="1">
        <f t="array" ref="M4">INDEX(HoleParM,M3,0)</f>
        <v>4</v>
      </c>
      <c r="N4" s="21" cm="1">
        <f t="array" ref="N4">INDEX(HoleParM,N3,0)</f>
        <v>4</v>
      </c>
      <c r="O4" s="21" cm="1">
        <f t="array" ref="O4">INDEX(HoleParM,O3,0)</f>
        <v>5</v>
      </c>
      <c r="P4" s="21" cm="1">
        <f t="array" ref="P4">INDEX(HoleParM,P3,0)</f>
        <v>4</v>
      </c>
      <c r="Q4" s="21" cm="1">
        <f t="array" ref="Q4">INDEX(HoleParM,Q3,0)</f>
        <v>4</v>
      </c>
      <c r="R4" s="21" cm="1">
        <f t="array" ref="R4">INDEX(HoleParM,R3,0)</f>
        <v>3</v>
      </c>
      <c r="S4" s="21" cm="1">
        <f t="array" ref="S4">INDEX(HoleParM,S3,0)</f>
        <v>5</v>
      </c>
      <c r="T4" s="12">
        <f>SUM(B4:S4)</f>
        <v>72</v>
      </c>
      <c r="U4" s="7"/>
      <c r="V4" s="15"/>
      <c r="W4" s="7"/>
    </row>
    <row r="5" spans="1:24" ht="15.75" x14ac:dyDescent="0.25">
      <c r="A5" s="7" t="s">
        <v>44</v>
      </c>
      <c r="B5" s="21" cm="1">
        <f t="array" ref="B5">INDEX(HoleHandicapM,B3,0)</f>
        <v>5</v>
      </c>
      <c r="C5" s="21" cm="1">
        <f t="array" ref="C5">INDEX(HoleHandicapM,C3,0)</f>
        <v>1</v>
      </c>
      <c r="D5" s="21" cm="1">
        <f t="array" ref="D5">INDEX(HoleHandicapM,D3,0)</f>
        <v>13</v>
      </c>
      <c r="E5" s="21" cm="1">
        <f t="array" ref="E5">INDEX(HoleHandicapM,E3,0)</f>
        <v>11</v>
      </c>
      <c r="F5" s="21" cm="1">
        <f t="array" ref="F5">INDEX(HoleHandicapM,F3,0)</f>
        <v>3</v>
      </c>
      <c r="G5" s="21" cm="1">
        <f t="array" ref="G5">INDEX(HoleHandicapM,G3,0)</f>
        <v>15</v>
      </c>
      <c r="H5" s="21" cm="1">
        <f t="array" ref="H5">INDEX(HoleHandicapM,H3,0)</f>
        <v>17</v>
      </c>
      <c r="I5" s="21" cm="1">
        <f t="array" ref="I5">INDEX(HoleHandicapM,I3,0)</f>
        <v>9</v>
      </c>
      <c r="J5" s="21" cm="1">
        <f t="array" ref="J5">INDEX(HoleHandicapM,J3,0)</f>
        <v>7</v>
      </c>
      <c r="K5" s="21" cm="1">
        <f t="array" ref="K5">INDEX(HoleHandicapM,K3,0)</f>
        <v>2</v>
      </c>
      <c r="L5" s="21" cm="1">
        <f t="array" ref="L5">INDEX(HoleHandicapM,L3,0)</f>
        <v>14</v>
      </c>
      <c r="M5" s="21" cm="1">
        <f t="array" ref="M5">INDEX(HoleHandicapM,M3,0)</f>
        <v>8</v>
      </c>
      <c r="N5" s="21" cm="1">
        <f t="array" ref="N5">INDEX(HoleHandicapM,N3,0)</f>
        <v>10</v>
      </c>
      <c r="O5" s="21" cm="1">
        <f t="array" ref="O5">INDEX(HoleHandicapM,O3,0)</f>
        <v>4</v>
      </c>
      <c r="P5" s="21" cm="1">
        <f t="array" ref="P5">INDEX(HoleHandicapM,P3,0)</f>
        <v>12</v>
      </c>
      <c r="Q5" s="21" cm="1">
        <f t="array" ref="Q5">INDEX(HoleHandicapM,Q3,0)</f>
        <v>18</v>
      </c>
      <c r="R5" s="21" cm="1">
        <f t="array" ref="R5">INDEX(HoleHandicapM,R3,0)</f>
        <v>16</v>
      </c>
      <c r="S5" s="21" cm="1">
        <f t="array" ref="S5">INDEX(HoleHandicapM,S3,0)</f>
        <v>6</v>
      </c>
      <c r="T5" s="12"/>
      <c r="U5" s="7"/>
      <c r="V5" s="15"/>
      <c r="W5" s="7"/>
    </row>
    <row r="6" spans="1:24" ht="15.75" x14ac:dyDescent="0.25">
      <c r="A6" s="7" t="s">
        <v>42</v>
      </c>
      <c r="B6" s="21" cm="1">
        <f t="array" ref="B6">INDEX(HoleParF,B3,0)</f>
        <v>4</v>
      </c>
      <c r="C6" s="21" cm="1">
        <f t="array" ref="C6">INDEX(HoleParF,C3,0)</f>
        <v>4</v>
      </c>
      <c r="D6" s="21" cm="1">
        <f t="array" ref="D6">INDEX(HoleParF,D3,0)</f>
        <v>3</v>
      </c>
      <c r="E6" s="21" cm="1">
        <f t="array" ref="E6">INDEX(HoleParF,E3,0)</f>
        <v>5</v>
      </c>
      <c r="F6" s="21" cm="1">
        <f t="array" ref="F6">INDEX(HoleParF,F3,0)</f>
        <v>4</v>
      </c>
      <c r="G6" s="21" cm="1">
        <f t="array" ref="G6">INDEX(HoleParF,G3,0)</f>
        <v>4</v>
      </c>
      <c r="H6" s="21" cm="1">
        <f t="array" ref="H6">INDEX(HoleParF,H3,0)</f>
        <v>3</v>
      </c>
      <c r="I6" s="21" cm="1">
        <f t="array" ref="I6">INDEX(HoleParF,I3,0)</f>
        <v>5</v>
      </c>
      <c r="J6" s="21" cm="1">
        <f t="array" ref="J6">INDEX(HoleParF,J3,0)</f>
        <v>4</v>
      </c>
      <c r="K6" s="21" cm="1">
        <f t="array" ref="K6">INDEX(HoleParF,K3,0)</f>
        <v>4</v>
      </c>
      <c r="L6" s="21" cm="1">
        <f t="array" ref="L6">INDEX(HoleParF,L3,0)</f>
        <v>3</v>
      </c>
      <c r="M6" s="21" cm="1">
        <f t="array" ref="M6">INDEX(HoleParF,M3,0)</f>
        <v>4</v>
      </c>
      <c r="N6" s="21" cm="1">
        <f t="array" ref="N6">INDEX(HoleParF,N3,0)</f>
        <v>4</v>
      </c>
      <c r="O6" s="21" cm="1">
        <f t="array" ref="O6">INDEX(HoleParF,O3,0)</f>
        <v>5</v>
      </c>
      <c r="P6" s="21" cm="1">
        <f t="array" ref="P6">INDEX(HoleParF,P3,0)</f>
        <v>4</v>
      </c>
      <c r="Q6" s="21" cm="1">
        <f t="array" ref="Q6">INDEX(HoleParF,Q3,0)</f>
        <v>4</v>
      </c>
      <c r="R6" s="21" cm="1">
        <f t="array" ref="R6">INDEX(HoleParF,R3,0)</f>
        <v>3</v>
      </c>
      <c r="S6" s="21" cm="1">
        <f t="array" ref="S6">INDEX(HoleParF,S3,0)</f>
        <v>5</v>
      </c>
      <c r="T6" s="12">
        <f>SUM(B6:S6)</f>
        <v>72</v>
      </c>
      <c r="U6" s="7"/>
      <c r="V6" s="15"/>
      <c r="W6" s="7"/>
    </row>
    <row r="7" spans="1:24" ht="15.75" x14ac:dyDescent="0.25">
      <c r="A7" s="7" t="s">
        <v>45</v>
      </c>
      <c r="B7" s="21" cm="1">
        <f t="array" ref="B7">INDEX(HoleHandicapF,B3,0)</f>
        <v>5</v>
      </c>
      <c r="C7" s="21" cm="1">
        <f t="array" ref="C7">INDEX(HoleHandicapF,C3,0)</f>
        <v>1</v>
      </c>
      <c r="D7" s="21" cm="1">
        <f t="array" ref="D7">INDEX(HoleHandicapF,D3,0)</f>
        <v>13</v>
      </c>
      <c r="E7" s="21" cm="1">
        <f t="array" ref="E7">INDEX(HoleHandicapF,E3,0)</f>
        <v>11</v>
      </c>
      <c r="F7" s="21" cm="1">
        <f t="array" ref="F7">INDEX(HoleHandicapF,F3,0)</f>
        <v>3</v>
      </c>
      <c r="G7" s="21" cm="1">
        <f t="array" ref="G7">INDEX(HoleHandicapF,G3,0)</f>
        <v>15</v>
      </c>
      <c r="H7" s="21" cm="1">
        <f t="array" ref="H7">INDEX(HoleHandicapF,H3,0)</f>
        <v>17</v>
      </c>
      <c r="I7" s="21" cm="1">
        <f t="array" ref="I7">INDEX(HoleHandicapF,I3,0)</f>
        <v>9</v>
      </c>
      <c r="J7" s="21" cm="1">
        <f t="array" ref="J7">INDEX(HoleHandicapF,J3,0)</f>
        <v>7</v>
      </c>
      <c r="K7" s="21" cm="1">
        <f t="array" ref="K7">INDEX(HoleHandicapF,K3,0)</f>
        <v>2</v>
      </c>
      <c r="L7" s="21" cm="1">
        <f t="array" ref="L7">INDEX(HoleHandicapF,L3,0)</f>
        <v>14</v>
      </c>
      <c r="M7" s="21" cm="1">
        <f t="array" ref="M7">INDEX(HoleHandicapF,M3,0)</f>
        <v>8</v>
      </c>
      <c r="N7" s="21" cm="1">
        <f t="array" ref="N7">INDEX(HoleHandicapF,N3,0)</f>
        <v>10</v>
      </c>
      <c r="O7" s="21" cm="1">
        <f t="array" ref="O7">INDEX(HoleHandicapF,O3,0)</f>
        <v>4</v>
      </c>
      <c r="P7" s="21" cm="1">
        <f t="array" ref="P7">INDEX(HoleHandicapF,P3,0)</f>
        <v>12</v>
      </c>
      <c r="Q7" s="21" cm="1">
        <f t="array" ref="Q7">INDEX(HoleHandicapF,Q3,0)</f>
        <v>18</v>
      </c>
      <c r="R7" s="21" cm="1">
        <f t="array" ref="R7">INDEX(HoleHandicapF,R3,0)</f>
        <v>16</v>
      </c>
      <c r="S7" s="21" cm="1">
        <f t="array" ref="S7">INDEX(HoleHandicapF,S3,0)</f>
        <v>6</v>
      </c>
      <c r="T7" s="12"/>
      <c r="U7" s="7"/>
      <c r="V7" s="15"/>
      <c r="W7" s="7"/>
    </row>
    <row r="8" spans="1:24" ht="15.75" x14ac:dyDescent="0.25">
      <c r="A8" s="7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12"/>
      <c r="U8" s="7"/>
      <c r="V8" s="15"/>
      <c r="W8" s="7"/>
    </row>
    <row r="9" spans="1:24" ht="30.75" customHeight="1" x14ac:dyDescent="0.25">
      <c r="A9" s="7" t="s">
        <v>41</v>
      </c>
      <c r="B9" s="7" t="s">
        <v>0</v>
      </c>
      <c r="C9" s="8" t="s">
        <v>39</v>
      </c>
      <c r="D9" s="9" t="s">
        <v>18</v>
      </c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13" t="s">
        <v>49</v>
      </c>
      <c r="V9" s="15" t="s">
        <v>3</v>
      </c>
      <c r="W9" s="7" t="s">
        <v>23</v>
      </c>
      <c r="X9" s="7" t="s">
        <v>20</v>
      </c>
    </row>
    <row r="10" spans="1:24" ht="15.75" x14ac:dyDescent="0.25">
      <c r="A10" s="7" t="str" cm="1">
        <f t="array" ref="A10">INDEX(PlayerNames,SUMPRODUCT((PlayerPlayerNo=VALUE(RIGHT(A9,1)))*ROW(PlayerNames))-1)</f>
        <v>Scott O'Hare</v>
      </c>
      <c r="B10" s="7" cm="1">
        <f t="array" ref="B10">INDEX(PlayerHandicaps,SUMPRODUCT((PlayerPlayerNo=VALUE(RIGHT($A9,1)))*ROW(PlayerHandicaps))-1)</f>
        <v>14.4</v>
      </c>
      <c r="C10" s="7" cm="1">
        <f t="array" ref="C10">IF(INDEX(PlayerGender,SUMPRODUCT((PlayerPlayerNo=VALUE(RIGHT($A9,1)))*ROW(PlayerGender))-1)="M",ROUND((B10*('Course &amp; Tourney'!$B$3/113))+('Course &amp; Tourney'!$B$4-'Course &amp; Tourney'!$B$5),0),ROUND((B10*('Course &amp; Tourney'!$B$7/113))+('Course &amp; Tourney'!$B$8-'Course &amp; Tourney'!$B$9),0))</f>
        <v>14</v>
      </c>
      <c r="D10" s="7">
        <f>MIN(ROUND(C10*Handicap_Allowance,0),Max_Handicap)</f>
        <v>14</v>
      </c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 t="s">
        <v>4</v>
      </c>
      <c r="U10" s="7"/>
      <c r="V10" s="15"/>
      <c r="W10" s="7"/>
      <c r="X10" s="7"/>
    </row>
    <row r="11" spans="1:24" ht="15.75" x14ac:dyDescent="0.25">
      <c r="A11" s="7" t="str">
        <f>_xlfn.CONCAT(A10," Gross")</f>
        <v>Scott O'Hare Gross</v>
      </c>
      <c r="B11" s="11">
        <v>5</v>
      </c>
      <c r="C11" s="11">
        <v>5</v>
      </c>
      <c r="D11" s="11">
        <v>4</v>
      </c>
      <c r="E11" s="11">
        <v>7</v>
      </c>
      <c r="F11" s="11">
        <v>6</v>
      </c>
      <c r="G11" s="11">
        <v>4</v>
      </c>
      <c r="H11" s="11">
        <v>3</v>
      </c>
      <c r="I11" s="11">
        <v>7</v>
      </c>
      <c r="J11" s="11">
        <v>4</v>
      </c>
      <c r="K11" s="11">
        <v>5</v>
      </c>
      <c r="L11" s="11">
        <v>3</v>
      </c>
      <c r="M11" s="11">
        <v>6</v>
      </c>
      <c r="N11" s="11">
        <v>4</v>
      </c>
      <c r="O11" s="11">
        <v>7</v>
      </c>
      <c r="P11" s="11">
        <v>7</v>
      </c>
      <c r="Q11" s="11">
        <v>5</v>
      </c>
      <c r="R11" s="11">
        <v>6</v>
      </c>
      <c r="S11" s="11">
        <v>4</v>
      </c>
      <c r="T11" s="11">
        <f>SUM(B11:S11)</f>
        <v>92</v>
      </c>
      <c r="U11" s="7"/>
      <c r="V11" s="15"/>
      <c r="W11" s="7"/>
    </row>
    <row r="12" spans="1:24" ht="15.75" x14ac:dyDescent="0.25">
      <c r="A12" s="7" t="str">
        <f>_xlfn.CONCAT(A10," Hcp Strokes")</f>
        <v>Scott O'Hare Hcp Strokes</v>
      </c>
      <c r="B12" s="11" cm="1">
        <f t="array" ref="B12">ROUNDDOWN($D10/18,0)+IF(MOD($D10,18)&gt;=IF(INDEX(PlayerGender,SUMPRODUCT((PlayerPlayerNo=VALUE(RIGHT($A9,1)))*ROW(PlayerGender))-1)="M",INDEX(HoleHandicapM,B$3,0),INDEX(HoleHandicapF,B$3,0)),1,0)</f>
        <v>1</v>
      </c>
      <c r="C12" s="11" cm="1">
        <f t="array" ref="C12">ROUNDDOWN($D10/18,0)+IF(MOD($D10,18)&gt;=IF(INDEX(PlayerGender,SUMPRODUCT((PlayerPlayerNo=VALUE(RIGHT($A9,1)))*ROW(PlayerGender))-1)="M",INDEX(HoleHandicapM,C$3,0),INDEX(HoleHandicapF,C$3,0)),1,0)</f>
        <v>1</v>
      </c>
      <c r="D12" s="11" cm="1">
        <f t="array" ref="D12">ROUNDDOWN($D10/18,0)+IF(MOD($D10,18)&gt;=IF(INDEX(PlayerGender,SUMPRODUCT((PlayerPlayerNo=VALUE(RIGHT($A9,1)))*ROW(PlayerGender))-1)="M",INDEX(HoleHandicapM,D$3,0),INDEX(HoleHandicapF,D$3,0)),1,0)</f>
        <v>1</v>
      </c>
      <c r="E12" s="11" cm="1">
        <f t="array" ref="E12">ROUNDDOWN($D10/18,0)+IF(MOD($D10,18)&gt;=IF(INDEX(PlayerGender,SUMPRODUCT((PlayerPlayerNo=VALUE(RIGHT($A9,1)))*ROW(PlayerGender))-1)="M",INDEX(HoleHandicapM,E$3,0),INDEX(HoleHandicapF,E$3,0)),1,0)</f>
        <v>1</v>
      </c>
      <c r="F12" s="11" cm="1">
        <f t="array" ref="F12">ROUNDDOWN($D10/18,0)+IF(MOD($D10,18)&gt;=IF(INDEX(PlayerGender,SUMPRODUCT((PlayerPlayerNo=VALUE(RIGHT($A9,1)))*ROW(PlayerGender))-1)="M",INDEX(HoleHandicapM,F$3,0),INDEX(HoleHandicapF,F$3,0)),1,0)</f>
        <v>1</v>
      </c>
      <c r="G12" s="11" cm="1">
        <f t="array" ref="G12">ROUNDDOWN($D10/18,0)+IF(MOD($D10,18)&gt;=IF(INDEX(PlayerGender,SUMPRODUCT((PlayerPlayerNo=VALUE(RIGHT($A9,1)))*ROW(PlayerGender))-1)="M",INDEX(HoleHandicapM,G$3,0),INDEX(HoleHandicapF,G$3,0)),1,0)</f>
        <v>0</v>
      </c>
      <c r="H12" s="11" cm="1">
        <f t="array" ref="H12">ROUNDDOWN($D10/18,0)+IF(MOD($D10,18)&gt;=IF(INDEX(PlayerGender,SUMPRODUCT((PlayerPlayerNo=VALUE(RIGHT($A9,1)))*ROW(PlayerGender))-1)="M",INDEX(HoleHandicapM,H$3,0),INDEX(HoleHandicapF,H$3,0)),1,0)</f>
        <v>0</v>
      </c>
      <c r="I12" s="11" cm="1">
        <f t="array" ref="I12">ROUNDDOWN($D10/18,0)+IF(MOD($D10,18)&gt;=IF(INDEX(PlayerGender,SUMPRODUCT((PlayerPlayerNo=VALUE(RIGHT($A9,1)))*ROW(PlayerGender))-1)="M",INDEX(HoleHandicapM,I$3,0),INDEX(HoleHandicapF,I$3,0)),1,0)</f>
        <v>1</v>
      </c>
      <c r="J12" s="11" cm="1">
        <f t="array" ref="J12">ROUNDDOWN($D10/18,0)+IF(MOD($D10,18)&gt;=IF(INDEX(PlayerGender,SUMPRODUCT((PlayerPlayerNo=VALUE(RIGHT($A9,1)))*ROW(PlayerGender))-1)="M",INDEX(HoleHandicapM,J$3,0),INDEX(HoleHandicapF,J$3,0)),1,0)</f>
        <v>1</v>
      </c>
      <c r="K12" s="11" cm="1">
        <f t="array" ref="K12">ROUNDDOWN($D10/18,0)+IF(MOD($D10,18)&gt;=IF(INDEX(PlayerGender,SUMPRODUCT((PlayerPlayerNo=VALUE(RIGHT($A9,1)))*ROW(PlayerGender))-1)="M",INDEX(HoleHandicapM,K$3,0),INDEX(HoleHandicapF,K$3,0)),1,0)</f>
        <v>1</v>
      </c>
      <c r="L12" s="11" cm="1">
        <f t="array" ref="L12">ROUNDDOWN($D10/18,0)+IF(MOD($D10,18)&gt;=IF(INDEX(PlayerGender,SUMPRODUCT((PlayerPlayerNo=VALUE(RIGHT($A9,1)))*ROW(PlayerGender))-1)="M",INDEX(HoleHandicapM,L$3,0),INDEX(HoleHandicapF,L$3,0)),1,0)</f>
        <v>1</v>
      </c>
      <c r="M12" s="11" cm="1">
        <f t="array" ref="M12">ROUNDDOWN($D10/18,0)+IF(MOD($D10,18)&gt;=IF(INDEX(PlayerGender,SUMPRODUCT((PlayerPlayerNo=VALUE(RIGHT($A9,1)))*ROW(PlayerGender))-1)="M",INDEX(HoleHandicapM,M$3,0),INDEX(HoleHandicapF,M$3,0)),1,0)</f>
        <v>1</v>
      </c>
      <c r="N12" s="11" cm="1">
        <f t="array" ref="N12">ROUNDDOWN($D10/18,0)+IF(MOD($D10,18)&gt;=IF(INDEX(PlayerGender,SUMPRODUCT((PlayerPlayerNo=VALUE(RIGHT($A9,1)))*ROW(PlayerGender))-1)="M",INDEX(HoleHandicapM,N$3,0),INDEX(HoleHandicapF,N$3,0)),1,0)</f>
        <v>1</v>
      </c>
      <c r="O12" s="11" cm="1">
        <f t="array" ref="O12">ROUNDDOWN($D10/18,0)+IF(MOD($D10,18)&gt;=IF(INDEX(PlayerGender,SUMPRODUCT((PlayerPlayerNo=VALUE(RIGHT($A9,1)))*ROW(PlayerGender))-1)="M",INDEX(HoleHandicapM,O$3,0),INDEX(HoleHandicapF,O$3,0)),1,0)</f>
        <v>1</v>
      </c>
      <c r="P12" s="11" cm="1">
        <f t="array" ref="P12">ROUNDDOWN($D10/18,0)+IF(MOD($D10,18)&gt;=IF(INDEX(PlayerGender,SUMPRODUCT((PlayerPlayerNo=VALUE(RIGHT($A9,1)))*ROW(PlayerGender))-1)="M",INDEX(HoleHandicapM,P$3,0),INDEX(HoleHandicapF,P$3,0)),1,0)</f>
        <v>1</v>
      </c>
      <c r="Q12" s="11" cm="1">
        <f t="array" ref="Q12">ROUNDDOWN($D10/18,0)+IF(MOD($D10,18)&gt;=IF(INDEX(PlayerGender,SUMPRODUCT((PlayerPlayerNo=VALUE(RIGHT($A9,1)))*ROW(PlayerGender))-1)="M",INDEX(HoleHandicapM,Q$3,0),INDEX(HoleHandicapF,Q$3,0)),1,0)</f>
        <v>0</v>
      </c>
      <c r="R12" s="11" cm="1">
        <f t="array" ref="R12">ROUNDDOWN($D10/18,0)+IF(MOD($D10,18)&gt;=IF(INDEX(PlayerGender,SUMPRODUCT((PlayerPlayerNo=VALUE(RIGHT($A9,1)))*ROW(PlayerGender))-1)="M",INDEX(HoleHandicapM,R$3,0),INDEX(HoleHandicapF,R$3,0)),1,0)</f>
        <v>0</v>
      </c>
      <c r="S12" s="11" cm="1">
        <f t="array" ref="S12">ROUNDDOWN($D10/18,0)+IF(MOD($D10,18)&gt;=IF(INDEX(PlayerGender,SUMPRODUCT((PlayerPlayerNo=VALUE(RIGHT($A9,1)))*ROW(PlayerGender))-1)="M",INDEX(HoleHandicapM,S$3,0),INDEX(HoleHandicapF,S$3,0)),1,0)</f>
        <v>1</v>
      </c>
      <c r="T12" s="11">
        <f>SUM(B12:S12)</f>
        <v>14</v>
      </c>
      <c r="U12" s="12"/>
      <c r="V12" s="15"/>
      <c r="W12" s="7"/>
    </row>
    <row r="13" spans="1:24" ht="15.75" x14ac:dyDescent="0.25">
      <c r="A13" s="7" t="str">
        <f>_xlfn.CONCAT(A10," Net")</f>
        <v>Scott O'Hare Net</v>
      </c>
      <c r="B13" s="11">
        <f>IF(B11-B12&gt;0,B11-B12,"")</f>
        <v>4</v>
      </c>
      <c r="C13" s="11">
        <f t="shared" ref="C13:S13" si="0">IF(C11-C12&gt;0,C11-C12,"")</f>
        <v>4</v>
      </c>
      <c r="D13" s="11">
        <f t="shared" si="0"/>
        <v>3</v>
      </c>
      <c r="E13" s="11">
        <f t="shared" si="0"/>
        <v>6</v>
      </c>
      <c r="F13" s="11">
        <f t="shared" si="0"/>
        <v>5</v>
      </c>
      <c r="G13" s="11">
        <f t="shared" si="0"/>
        <v>4</v>
      </c>
      <c r="H13" s="11">
        <f t="shared" si="0"/>
        <v>3</v>
      </c>
      <c r="I13" s="11">
        <f t="shared" si="0"/>
        <v>6</v>
      </c>
      <c r="J13" s="11">
        <f t="shared" si="0"/>
        <v>3</v>
      </c>
      <c r="K13" s="11">
        <f t="shared" si="0"/>
        <v>4</v>
      </c>
      <c r="L13" s="11">
        <f t="shared" si="0"/>
        <v>2</v>
      </c>
      <c r="M13" s="11">
        <f t="shared" si="0"/>
        <v>5</v>
      </c>
      <c r="N13" s="11">
        <f t="shared" si="0"/>
        <v>3</v>
      </c>
      <c r="O13" s="11">
        <f t="shared" si="0"/>
        <v>6</v>
      </c>
      <c r="P13" s="11">
        <f t="shared" si="0"/>
        <v>6</v>
      </c>
      <c r="Q13" s="11">
        <f t="shared" si="0"/>
        <v>5</v>
      </c>
      <c r="R13" s="11">
        <f t="shared" si="0"/>
        <v>6</v>
      </c>
      <c r="S13" s="11">
        <f t="shared" si="0"/>
        <v>3</v>
      </c>
      <c r="T13" s="11">
        <f>IF(SUM(B13:S13)&gt;0,SUM(B13:S13),"")</f>
        <v>78</v>
      </c>
    </row>
    <row r="14" spans="1:24" ht="15.75" x14ac:dyDescent="0.25">
      <c r="A14" s="7" t="str">
        <f>_xlfn.CONCAT(A10," Stableford Points")</f>
        <v>Scott O'Hare Stableford Points</v>
      </c>
      <c r="B14" s="11" cm="1">
        <f t="array" ref="B14">IF(ISBLANK(B11),"",VLOOKUP(B13-IF(INDEX(PlayerGender,SUMPRODUCT((PlayerPlayerNo=VALUE(RIGHT($A9,1)))*ROW(PlayerGender))-1)="M",INDEX(HoleParM,B$3,0),INDEX(HoleParF,B$3,0)),Stableford_Points,2))</f>
        <v>2</v>
      </c>
      <c r="C14" s="11" cm="1">
        <f t="array" ref="C14">IF(ISBLANK(C11),"",VLOOKUP(C13-IF(INDEX(PlayerGender,SUMPRODUCT((PlayerPlayerNo=VALUE(RIGHT($A9,1)))*ROW(PlayerGender))-1)="M",INDEX(HoleParM,C$3,0),INDEX(HoleParF,C$3,0)),Stableford_Points,2))</f>
        <v>2</v>
      </c>
      <c r="D14" s="11" cm="1">
        <f t="array" ref="D14">IF(ISBLANK(D11),"",VLOOKUP(D13-IF(INDEX(PlayerGender,SUMPRODUCT((PlayerPlayerNo=VALUE(RIGHT($A9,1)))*ROW(PlayerGender))-1)="M",INDEX(HoleParM,D$3,0),INDEX(HoleParF,D$3,0)),Stableford_Points,2))</f>
        <v>2</v>
      </c>
      <c r="E14" s="11" cm="1">
        <f t="array" ref="E14">IF(ISBLANK(E11),"",VLOOKUP(E13-IF(INDEX(PlayerGender,SUMPRODUCT((PlayerPlayerNo=VALUE(RIGHT($A9,1)))*ROW(PlayerGender))-1)="M",INDEX(HoleParM,E$3,0),INDEX(HoleParF,E$3,0)),Stableford_Points,2))</f>
        <v>1</v>
      </c>
      <c r="F14" s="11" cm="1">
        <f t="array" ref="F14">IF(ISBLANK(F11),"",VLOOKUP(F13-IF(INDEX(PlayerGender,SUMPRODUCT((PlayerPlayerNo=VALUE(RIGHT($A9,1)))*ROW(PlayerGender))-1)="M",INDEX(HoleParM,F$3,0),INDEX(HoleParF,F$3,0)),Stableford_Points,2))</f>
        <v>1</v>
      </c>
      <c r="G14" s="11" cm="1">
        <f t="array" ref="G14">IF(ISBLANK(G11),"",VLOOKUP(G13-IF(INDEX(PlayerGender,SUMPRODUCT((PlayerPlayerNo=VALUE(RIGHT($A9,1)))*ROW(PlayerGender))-1)="M",INDEX(HoleParM,G$3,0),INDEX(HoleParF,G$3,0)),Stableford_Points,2))</f>
        <v>2</v>
      </c>
      <c r="H14" s="11" cm="1">
        <f t="array" ref="H14">IF(ISBLANK(H11),"",VLOOKUP(H13-IF(INDEX(PlayerGender,SUMPRODUCT((PlayerPlayerNo=VALUE(RIGHT($A9,1)))*ROW(PlayerGender))-1)="M",INDEX(HoleParM,H$3,0),INDEX(HoleParF,H$3,0)),Stableford_Points,2))</f>
        <v>2</v>
      </c>
      <c r="I14" s="11" cm="1">
        <f t="array" ref="I14">IF(ISBLANK(I11),"",VLOOKUP(I13-IF(INDEX(PlayerGender,SUMPRODUCT((PlayerPlayerNo=VALUE(RIGHT($A9,1)))*ROW(PlayerGender))-1)="M",INDEX(HoleParM,I$3,0),INDEX(HoleParF,I$3,0)),Stableford_Points,2))</f>
        <v>1</v>
      </c>
      <c r="J14" s="11" cm="1">
        <f t="array" ref="J14">IF(ISBLANK(J11),"",VLOOKUP(J13-IF(INDEX(PlayerGender,SUMPRODUCT((PlayerPlayerNo=VALUE(RIGHT($A9,1)))*ROW(PlayerGender))-1)="M",INDEX(HoleParM,J$3,0),INDEX(HoleParF,J$3,0)),Stableford_Points,2))</f>
        <v>4</v>
      </c>
      <c r="K14" s="11" cm="1">
        <f t="array" ref="K14">IF(ISBLANK(K11),"",VLOOKUP(K13-IF(INDEX(PlayerGender,SUMPRODUCT((PlayerPlayerNo=VALUE(RIGHT($A9,1)))*ROW(PlayerGender))-1)="M",INDEX(HoleParM,K$3,0),INDEX(HoleParF,K$3,0)),Stableford_Points,2))</f>
        <v>2</v>
      </c>
      <c r="L14" s="11" cm="1">
        <f t="array" ref="L14">IF(ISBLANK(L11),"",VLOOKUP(L13-IF(INDEX(PlayerGender,SUMPRODUCT((PlayerPlayerNo=VALUE(RIGHT($A9,1)))*ROW(PlayerGender))-1)="M",INDEX(HoleParM,L$3,0),INDEX(HoleParF,L$3,0)),Stableford_Points,2))</f>
        <v>4</v>
      </c>
      <c r="M14" s="11" cm="1">
        <f t="array" ref="M14">IF(ISBLANK(M11),"",VLOOKUP(M13-IF(INDEX(PlayerGender,SUMPRODUCT((PlayerPlayerNo=VALUE(RIGHT($A9,1)))*ROW(PlayerGender))-1)="M",INDEX(HoleParM,M$3,0),INDEX(HoleParF,M$3,0)),Stableford_Points,2))</f>
        <v>1</v>
      </c>
      <c r="N14" s="11" cm="1">
        <f t="array" ref="N14">IF(ISBLANK(N11),"",VLOOKUP(N13-IF(INDEX(PlayerGender,SUMPRODUCT((PlayerPlayerNo=VALUE(RIGHT($A9,1)))*ROW(PlayerGender))-1)="M",INDEX(HoleParM,N$3,0),INDEX(HoleParF,N$3,0)),Stableford_Points,2))</f>
        <v>4</v>
      </c>
      <c r="O14" s="11" cm="1">
        <f t="array" ref="O14">IF(ISBLANK(O11),"",VLOOKUP(O13-IF(INDEX(PlayerGender,SUMPRODUCT((PlayerPlayerNo=VALUE(RIGHT($A9,1)))*ROW(PlayerGender))-1)="M",INDEX(HoleParM,O$3,0),INDEX(HoleParF,O$3,0)),Stableford_Points,2))</f>
        <v>1</v>
      </c>
      <c r="P14" s="11" cm="1">
        <f t="array" ref="P14">IF(ISBLANK(P11),"",VLOOKUP(P13-IF(INDEX(PlayerGender,SUMPRODUCT((PlayerPlayerNo=VALUE(RIGHT($A9,1)))*ROW(PlayerGender))-1)="M",INDEX(HoleParM,P$3,0),INDEX(HoleParF,P$3,0)),Stableford_Points,2))</f>
        <v>0</v>
      </c>
      <c r="Q14" s="11" cm="1">
        <f t="array" ref="Q14">IF(ISBLANK(Q11),"",VLOOKUP(Q13-IF(INDEX(PlayerGender,SUMPRODUCT((PlayerPlayerNo=VALUE(RIGHT($A9,1)))*ROW(PlayerGender))-1)="M",INDEX(HoleParM,Q$3,0),INDEX(HoleParF,Q$3,0)),Stableford_Points,2))</f>
        <v>1</v>
      </c>
      <c r="R14" s="11" cm="1">
        <f t="array" ref="R14">IF(ISBLANK(R11),"",VLOOKUP(R13-IF(INDEX(PlayerGender,SUMPRODUCT((PlayerPlayerNo=VALUE(RIGHT($A9,1)))*ROW(PlayerGender))-1)="M",INDEX(HoleParM,R$3,0),INDEX(HoleParF,R$3,0)),Stableford_Points,2))</f>
        <v>-1</v>
      </c>
      <c r="S14" s="11" cm="1">
        <f t="array" ref="S14">IF(ISBLANK(S11),"",VLOOKUP(S13-IF(INDEX(PlayerGender,SUMPRODUCT((PlayerPlayerNo=VALUE(RIGHT($A9,1)))*ROW(PlayerGender))-1)="M",INDEX(HoleParM,S$3,0),INDEX(HoleParF,S$3,0)),Stableford_Points,2))</f>
        <v>8</v>
      </c>
      <c r="T14" s="11">
        <f t="array" ref="T14">IF(AND(ISBLANK(B11:S11)), "", SUM(B14:S14))</f>
        <v>37</v>
      </c>
      <c r="U14" s="11">
        <f>T14</f>
        <v>37</v>
      </c>
      <c r="V14" s="16">
        <f>IF(U14 = "","",_xlfn.RANK.EQ(U14,U:U,0))</f>
        <v>4</v>
      </c>
      <c r="W14" s="7" t="str">
        <f>IF(U14="","",IF(COUNTIF(V:V,V14)&gt;1,CONCATENATE("T",V14),TEXT(V14,"0")))</f>
        <v>4</v>
      </c>
      <c r="X14" s="14">
        <f ca="1">IF(U14="","",IF(ISNA(VLOOKUP(V14,PlacePayouts,1,FALSE)),"",AVERAGE(OFFSET(PlacePayouts,VLOOKUP(V14,PlacePayouts,1,FALSE)-1,1,COUNTIF(V:V,V14)))*Kitty))</f>
        <v>0</v>
      </c>
    </row>
    <row r="15" spans="1:24" ht="15.75" x14ac:dyDescent="0.25">
      <c r="A15" s="7"/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2"/>
      <c r="V15" s="16"/>
      <c r="W15" s="7"/>
      <c r="X15" s="14"/>
    </row>
    <row r="16" spans="1:24" ht="31.5" x14ac:dyDescent="0.25">
      <c r="A16" s="7" t="s">
        <v>47</v>
      </c>
      <c r="B16" s="7" t="s">
        <v>0</v>
      </c>
      <c r="C16" s="8" t="s">
        <v>39</v>
      </c>
      <c r="D16" s="9" t="s">
        <v>18</v>
      </c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12"/>
      <c r="V16" s="16"/>
      <c r="W16" s="7"/>
      <c r="X16" s="14"/>
    </row>
    <row r="17" spans="1:24" ht="15.75" x14ac:dyDescent="0.25">
      <c r="A17" s="7" t="str" cm="1">
        <f t="array" ref="A17">INDEX(PlayerNames,SUMPRODUCT((PlayerPlayerNo=VALUE(RIGHT(A16,1)))*ROW(PlayerNames))-1)</f>
        <v>Mike Bull</v>
      </c>
      <c r="B17" s="7" cm="1">
        <f t="array" ref="B17">INDEX(PlayerHandicaps,SUMPRODUCT((PlayerPlayerNo=VALUE(RIGHT($A16,1)))*ROW(PlayerHandicaps))-1)</f>
        <v>4.5999999999999996</v>
      </c>
      <c r="C17" s="7" cm="1">
        <f t="array" ref="C17">IF(INDEX(PlayerGender,SUMPRODUCT((PlayerPlayerNo=VALUE(RIGHT($A16,1)))*ROW(PlayerGender))-1)="M",ROUND((B17*('Course &amp; Tourney'!$B$3/113))+('Course &amp; Tourney'!$B$4-'Course &amp; Tourney'!$B$5),0),ROUND((B17*('Course &amp; Tourney'!$B$7/113))+('Course &amp; Tourney'!$B$8-'Course &amp; Tourney'!$B$9),0))</f>
        <v>4</v>
      </c>
      <c r="D17" s="7">
        <f>MIN(ROUND(C17*Handicap_Allowance,0),Max_Handicap)</f>
        <v>4</v>
      </c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 t="s">
        <v>4</v>
      </c>
      <c r="U17" s="12"/>
      <c r="V17" s="16"/>
      <c r="W17" s="7"/>
      <c r="X17" s="14"/>
    </row>
    <row r="18" spans="1:24" ht="15.75" x14ac:dyDescent="0.25">
      <c r="A18" s="7" t="str">
        <f>_xlfn.CONCAT(A17," Gross")</f>
        <v>Mike Bull Gross</v>
      </c>
      <c r="B18" s="11">
        <v>7</v>
      </c>
      <c r="C18" s="11">
        <v>5</v>
      </c>
      <c r="D18" s="11">
        <v>6</v>
      </c>
      <c r="E18" s="11">
        <v>4</v>
      </c>
      <c r="F18" s="11">
        <v>5</v>
      </c>
      <c r="G18" s="11">
        <v>5</v>
      </c>
      <c r="H18" s="11">
        <v>5</v>
      </c>
      <c r="I18" s="11">
        <v>5</v>
      </c>
      <c r="J18" s="11">
        <v>6</v>
      </c>
      <c r="K18" s="11">
        <v>4</v>
      </c>
      <c r="L18" s="11">
        <v>3</v>
      </c>
      <c r="M18" s="11">
        <v>6</v>
      </c>
      <c r="N18" s="11">
        <v>5</v>
      </c>
      <c r="O18" s="11">
        <v>5</v>
      </c>
      <c r="P18" s="11">
        <v>6</v>
      </c>
      <c r="Q18" s="11">
        <v>5</v>
      </c>
      <c r="R18" s="11">
        <v>4</v>
      </c>
      <c r="S18" s="11">
        <v>7</v>
      </c>
      <c r="T18" s="11">
        <f>SUM(B18:S18)</f>
        <v>93</v>
      </c>
      <c r="U18" s="12"/>
      <c r="V18" s="16"/>
      <c r="W18" s="7"/>
      <c r="X18" s="14"/>
    </row>
    <row r="19" spans="1:24" ht="15.75" x14ac:dyDescent="0.25">
      <c r="A19" s="7" t="str">
        <f>_xlfn.CONCAT(A17," Hcp Strokes")</f>
        <v>Mike Bull Hcp Strokes</v>
      </c>
      <c r="B19" s="11" cm="1">
        <f t="array" ref="B19">ROUNDDOWN($D17/18,0)+IF(MOD($D17,18)&gt;=IF(INDEX(PlayerGender,SUMPRODUCT((PlayerPlayerNo=VALUE(RIGHT($A16,1)))*ROW(PlayerGender))-1)="M",INDEX(HoleHandicapM,B$3,0),INDEX(HoleHandicapF,B$3,0)),1,0)</f>
        <v>0</v>
      </c>
      <c r="C19" s="11" cm="1">
        <f t="array" ref="C19">ROUNDDOWN($D17/18,0)+IF(MOD($D17,18)&gt;=IF(INDEX(PlayerGender,SUMPRODUCT((PlayerPlayerNo=VALUE(RIGHT($A16,1)))*ROW(PlayerGender))-1)="M",INDEX(HoleHandicapM,C$3,0),INDEX(HoleHandicapF,C$3,0)),1,0)</f>
        <v>1</v>
      </c>
      <c r="D19" s="11" cm="1">
        <f t="array" ref="D19">ROUNDDOWN($D17/18,0)+IF(MOD($D17,18)&gt;=IF(INDEX(PlayerGender,SUMPRODUCT((PlayerPlayerNo=VALUE(RIGHT($A16,1)))*ROW(PlayerGender))-1)="M",INDEX(HoleHandicapM,D$3,0),INDEX(HoleHandicapF,D$3,0)),1,0)</f>
        <v>0</v>
      </c>
      <c r="E19" s="11" cm="1">
        <f t="array" ref="E19">ROUNDDOWN($D17/18,0)+IF(MOD($D17,18)&gt;=IF(INDEX(PlayerGender,SUMPRODUCT((PlayerPlayerNo=VALUE(RIGHT($A16,1)))*ROW(PlayerGender))-1)="M",INDEX(HoleHandicapM,E$3,0),INDEX(HoleHandicapF,E$3,0)),1,0)</f>
        <v>0</v>
      </c>
      <c r="F19" s="11" cm="1">
        <f t="array" ref="F19">ROUNDDOWN($D17/18,0)+IF(MOD($D17,18)&gt;=IF(INDEX(PlayerGender,SUMPRODUCT((PlayerPlayerNo=VALUE(RIGHT($A16,1)))*ROW(PlayerGender))-1)="M",INDEX(HoleHandicapM,F$3,0),INDEX(HoleHandicapF,F$3,0)),1,0)</f>
        <v>1</v>
      </c>
      <c r="G19" s="11" cm="1">
        <f t="array" ref="G19">ROUNDDOWN($D17/18,0)+IF(MOD($D17,18)&gt;=IF(INDEX(PlayerGender,SUMPRODUCT((PlayerPlayerNo=VALUE(RIGHT($A16,1)))*ROW(PlayerGender))-1)="M",INDEX(HoleHandicapM,G$3,0),INDEX(HoleHandicapF,G$3,0)),1,0)</f>
        <v>0</v>
      </c>
      <c r="H19" s="11" cm="1">
        <f t="array" ref="H19">ROUNDDOWN($D17/18,0)+IF(MOD($D17,18)&gt;=IF(INDEX(PlayerGender,SUMPRODUCT((PlayerPlayerNo=VALUE(RIGHT($A16,1)))*ROW(PlayerGender))-1)="M",INDEX(HoleHandicapM,H$3,0),INDEX(HoleHandicapF,H$3,0)),1,0)</f>
        <v>0</v>
      </c>
      <c r="I19" s="11" cm="1">
        <f t="array" ref="I19">ROUNDDOWN($D17/18,0)+IF(MOD($D17,18)&gt;=IF(INDEX(PlayerGender,SUMPRODUCT((PlayerPlayerNo=VALUE(RIGHT($A16,1)))*ROW(PlayerGender))-1)="M",INDEX(HoleHandicapM,I$3,0),INDEX(HoleHandicapF,I$3,0)),1,0)</f>
        <v>0</v>
      </c>
      <c r="J19" s="11" cm="1">
        <f t="array" ref="J19">ROUNDDOWN($D17/18,0)+IF(MOD($D17,18)&gt;=IF(INDEX(PlayerGender,SUMPRODUCT((PlayerPlayerNo=VALUE(RIGHT($A16,1)))*ROW(PlayerGender))-1)="M",INDEX(HoleHandicapM,J$3,0),INDEX(HoleHandicapF,J$3,0)),1,0)</f>
        <v>0</v>
      </c>
      <c r="K19" s="11" cm="1">
        <f t="array" ref="K19">ROUNDDOWN($D17/18,0)+IF(MOD($D17,18)&gt;=IF(INDEX(PlayerGender,SUMPRODUCT((PlayerPlayerNo=VALUE(RIGHT($A16,1)))*ROW(PlayerGender))-1)="M",INDEX(HoleHandicapM,K$3,0),INDEX(HoleHandicapF,K$3,0)),1,0)</f>
        <v>1</v>
      </c>
      <c r="L19" s="11" cm="1">
        <f t="array" ref="L19">ROUNDDOWN($D17/18,0)+IF(MOD($D17,18)&gt;=IF(INDEX(PlayerGender,SUMPRODUCT((PlayerPlayerNo=VALUE(RIGHT($A16,1)))*ROW(PlayerGender))-1)="M",INDEX(HoleHandicapM,L$3,0),INDEX(HoleHandicapF,L$3,0)),1,0)</f>
        <v>0</v>
      </c>
      <c r="M19" s="11" cm="1">
        <f t="array" ref="M19">ROUNDDOWN($D17/18,0)+IF(MOD($D17,18)&gt;=IF(INDEX(PlayerGender,SUMPRODUCT((PlayerPlayerNo=VALUE(RIGHT($A16,1)))*ROW(PlayerGender))-1)="M",INDEX(HoleHandicapM,M$3,0),INDEX(HoleHandicapF,M$3,0)),1,0)</f>
        <v>0</v>
      </c>
      <c r="N19" s="11" cm="1">
        <f t="array" ref="N19">ROUNDDOWN($D17/18,0)+IF(MOD($D17,18)&gt;=IF(INDEX(PlayerGender,SUMPRODUCT((PlayerPlayerNo=VALUE(RIGHT($A16,1)))*ROW(PlayerGender))-1)="M",INDEX(HoleHandicapM,N$3,0),INDEX(HoleHandicapF,N$3,0)),1,0)</f>
        <v>0</v>
      </c>
      <c r="O19" s="11" cm="1">
        <f t="array" ref="O19">ROUNDDOWN($D17/18,0)+IF(MOD($D17,18)&gt;=IF(INDEX(PlayerGender,SUMPRODUCT((PlayerPlayerNo=VALUE(RIGHT($A16,1)))*ROW(PlayerGender))-1)="M",INDEX(HoleHandicapM,O$3,0),INDEX(HoleHandicapF,O$3,0)),1,0)</f>
        <v>1</v>
      </c>
      <c r="P19" s="11" cm="1">
        <f t="array" ref="P19">ROUNDDOWN($D17/18,0)+IF(MOD($D17,18)&gt;=IF(INDEX(PlayerGender,SUMPRODUCT((PlayerPlayerNo=VALUE(RIGHT($A16,1)))*ROW(PlayerGender))-1)="M",INDEX(HoleHandicapM,P$3,0),INDEX(HoleHandicapF,P$3,0)),1,0)</f>
        <v>0</v>
      </c>
      <c r="Q19" s="11" cm="1">
        <f t="array" ref="Q19">ROUNDDOWN($D17/18,0)+IF(MOD($D17,18)&gt;=IF(INDEX(PlayerGender,SUMPRODUCT((PlayerPlayerNo=VALUE(RIGHT($A16,1)))*ROW(PlayerGender))-1)="M",INDEX(HoleHandicapM,Q$3,0),INDEX(HoleHandicapF,Q$3,0)),1,0)</f>
        <v>0</v>
      </c>
      <c r="R19" s="11" cm="1">
        <f t="array" ref="R19">ROUNDDOWN($D17/18,0)+IF(MOD($D17,18)&gt;=IF(INDEX(PlayerGender,SUMPRODUCT((PlayerPlayerNo=VALUE(RIGHT($A16,1)))*ROW(PlayerGender))-1)="M",INDEX(HoleHandicapM,R$3,0),INDEX(HoleHandicapF,R$3,0)),1,0)</f>
        <v>0</v>
      </c>
      <c r="S19" s="11" cm="1">
        <f t="array" ref="S19">ROUNDDOWN($D17/18,0)+IF(MOD($D17,18)&gt;=IF(INDEX(PlayerGender,SUMPRODUCT((PlayerPlayerNo=VALUE(RIGHT($A16,1)))*ROW(PlayerGender))-1)="M",INDEX(HoleHandicapM,S$3,0),INDEX(HoleHandicapF,S$3,0)),1,0)</f>
        <v>0</v>
      </c>
      <c r="T19" s="11">
        <f>SUM(B19:S19)</f>
        <v>4</v>
      </c>
      <c r="U19" s="12"/>
      <c r="V19" s="16"/>
      <c r="W19" s="7"/>
      <c r="X19" s="14"/>
    </row>
    <row r="20" spans="1:24" ht="15.75" x14ac:dyDescent="0.25">
      <c r="A20" s="7" t="str">
        <f>_xlfn.CONCAT(A17," Net")</f>
        <v>Mike Bull Net</v>
      </c>
      <c r="B20" s="11">
        <f>IF(B18-B19&gt;0,B18-B19,"")</f>
        <v>7</v>
      </c>
      <c r="C20" s="11">
        <f t="shared" ref="C20" si="1">IF(C18-C19&gt;0,C18-C19,"")</f>
        <v>4</v>
      </c>
      <c r="D20" s="11">
        <f t="shared" ref="D20" si="2">IF(D18-D19&gt;0,D18-D19,"")</f>
        <v>6</v>
      </c>
      <c r="E20" s="11">
        <f t="shared" ref="E20" si="3">IF(E18-E19&gt;0,E18-E19,"")</f>
        <v>4</v>
      </c>
      <c r="F20" s="11">
        <f t="shared" ref="F20" si="4">IF(F18-F19&gt;0,F18-F19,"")</f>
        <v>4</v>
      </c>
      <c r="G20" s="11">
        <f t="shared" ref="G20" si="5">IF(G18-G19&gt;0,G18-G19,"")</f>
        <v>5</v>
      </c>
      <c r="H20" s="11">
        <f t="shared" ref="H20" si="6">IF(H18-H19&gt;0,H18-H19,"")</f>
        <v>5</v>
      </c>
      <c r="I20" s="11">
        <f t="shared" ref="I20" si="7">IF(I18-I19&gt;0,I18-I19,"")</f>
        <v>5</v>
      </c>
      <c r="J20" s="11">
        <f t="shared" ref="J20" si="8">IF(J18-J19&gt;0,J18-J19,"")</f>
        <v>6</v>
      </c>
      <c r="K20" s="11">
        <f t="shared" ref="K20" si="9">IF(K18-K19&gt;0,K18-K19,"")</f>
        <v>3</v>
      </c>
      <c r="L20" s="11">
        <f t="shared" ref="L20" si="10">IF(L18-L19&gt;0,L18-L19,"")</f>
        <v>3</v>
      </c>
      <c r="M20" s="11">
        <f t="shared" ref="M20" si="11">IF(M18-M19&gt;0,M18-M19,"")</f>
        <v>6</v>
      </c>
      <c r="N20" s="11">
        <f t="shared" ref="N20" si="12">IF(N18-N19&gt;0,N18-N19,"")</f>
        <v>5</v>
      </c>
      <c r="O20" s="11">
        <f t="shared" ref="O20" si="13">IF(O18-O19&gt;0,O18-O19,"")</f>
        <v>4</v>
      </c>
      <c r="P20" s="11">
        <f t="shared" ref="P20" si="14">IF(P18-P19&gt;0,P18-P19,"")</f>
        <v>6</v>
      </c>
      <c r="Q20" s="11">
        <f t="shared" ref="Q20" si="15">IF(Q18-Q19&gt;0,Q18-Q19,"")</f>
        <v>5</v>
      </c>
      <c r="R20" s="11">
        <f t="shared" ref="R20" si="16">IF(R18-R19&gt;0,R18-R19,"")</f>
        <v>4</v>
      </c>
      <c r="S20" s="11">
        <f t="shared" ref="S20" si="17">IF(S18-S19&gt;0,S18-S19,"")</f>
        <v>7</v>
      </c>
      <c r="T20" s="11">
        <f>IF(SUM(B20:S20)&gt;0,SUM(B20:S20),"")</f>
        <v>89</v>
      </c>
      <c r="U20" s="12"/>
      <c r="V20" s="16"/>
      <c r="W20" s="7"/>
      <c r="X20" s="14"/>
    </row>
    <row r="21" spans="1:24" ht="15.75" x14ac:dyDescent="0.25">
      <c r="A21" s="7" t="str">
        <f>_xlfn.CONCAT(A17," Stableford Points")</f>
        <v>Mike Bull Stableford Points</v>
      </c>
      <c r="B21" s="11" cm="1">
        <f t="array" ref="B21">IF(ISBLANK(B18),"",VLOOKUP(B20-IF(INDEX(PlayerGender,SUMPRODUCT((PlayerPlayerNo=VALUE(RIGHT($A16,1)))*ROW(PlayerGender))-1)="M",INDEX(HoleParM,B$3,0),INDEX(HoleParF,B$3,0)),Stableford_Points,2))</f>
        <v>-1</v>
      </c>
      <c r="C21" s="11" cm="1">
        <f t="array" ref="C21">IF(ISBLANK(C18),"",VLOOKUP(C20-IF(INDEX(PlayerGender,SUMPRODUCT((PlayerPlayerNo=VALUE(RIGHT($A16,1)))*ROW(PlayerGender))-1)="M",INDEX(HoleParM,C$3,0),INDEX(HoleParF,C$3,0)),Stableford_Points,2))</f>
        <v>2</v>
      </c>
      <c r="D21" s="11" cm="1">
        <f t="array" ref="D21">IF(ISBLANK(D18),"",VLOOKUP(D20-IF(INDEX(PlayerGender,SUMPRODUCT((PlayerPlayerNo=VALUE(RIGHT($A16,1)))*ROW(PlayerGender))-1)="M",INDEX(HoleParM,D$3,0),INDEX(HoleParF,D$3,0)),Stableford_Points,2))</f>
        <v>-1</v>
      </c>
      <c r="E21" s="11" cm="1">
        <f t="array" ref="E21">IF(ISBLANK(E18),"",VLOOKUP(E20-IF(INDEX(PlayerGender,SUMPRODUCT((PlayerPlayerNo=VALUE(RIGHT($A16,1)))*ROW(PlayerGender))-1)="M",INDEX(HoleParM,E$3,0),INDEX(HoleParF,E$3,0)),Stableford_Points,2))</f>
        <v>4</v>
      </c>
      <c r="F21" s="11" cm="1">
        <f t="array" ref="F21">IF(ISBLANK(F18),"",VLOOKUP(F20-IF(INDEX(PlayerGender,SUMPRODUCT((PlayerPlayerNo=VALUE(RIGHT($A16,1)))*ROW(PlayerGender))-1)="M",INDEX(HoleParM,F$3,0),INDEX(HoleParF,F$3,0)),Stableford_Points,2))</f>
        <v>2</v>
      </c>
      <c r="G21" s="11" cm="1">
        <f t="array" ref="G21">IF(ISBLANK(G18),"",VLOOKUP(G20-IF(INDEX(PlayerGender,SUMPRODUCT((PlayerPlayerNo=VALUE(RIGHT($A16,1)))*ROW(PlayerGender))-1)="M",INDEX(HoleParM,G$3,0),INDEX(HoleParF,G$3,0)),Stableford_Points,2))</f>
        <v>1</v>
      </c>
      <c r="H21" s="11" cm="1">
        <f t="array" ref="H21">IF(ISBLANK(H18),"",VLOOKUP(H20-IF(INDEX(PlayerGender,SUMPRODUCT((PlayerPlayerNo=VALUE(RIGHT($A16,1)))*ROW(PlayerGender))-1)="M",INDEX(HoleParM,H$3,0),INDEX(HoleParF,H$3,0)),Stableford_Points,2))</f>
        <v>0</v>
      </c>
      <c r="I21" s="11" cm="1">
        <f t="array" ref="I21">IF(ISBLANK(I18),"",VLOOKUP(I20-IF(INDEX(PlayerGender,SUMPRODUCT((PlayerPlayerNo=VALUE(RIGHT($A16,1)))*ROW(PlayerGender))-1)="M",INDEX(HoleParM,I$3,0),INDEX(HoleParF,I$3,0)),Stableford_Points,2))</f>
        <v>2</v>
      </c>
      <c r="J21" s="11" cm="1">
        <f t="array" ref="J21">IF(ISBLANK(J18),"",VLOOKUP(J20-IF(INDEX(PlayerGender,SUMPRODUCT((PlayerPlayerNo=VALUE(RIGHT($A16,1)))*ROW(PlayerGender))-1)="M",INDEX(HoleParM,J$3,0),INDEX(HoleParF,J$3,0)),Stableford_Points,2))</f>
        <v>0</v>
      </c>
      <c r="K21" s="11" cm="1">
        <f t="array" ref="K21">IF(ISBLANK(K18),"",VLOOKUP(K20-IF(INDEX(PlayerGender,SUMPRODUCT((PlayerPlayerNo=VALUE(RIGHT($A16,1)))*ROW(PlayerGender))-1)="M",INDEX(HoleParM,K$3,0),INDEX(HoleParF,K$3,0)),Stableford_Points,2))</f>
        <v>4</v>
      </c>
      <c r="L21" s="11" cm="1">
        <f t="array" ref="L21">IF(ISBLANK(L18),"",VLOOKUP(L20-IF(INDEX(PlayerGender,SUMPRODUCT((PlayerPlayerNo=VALUE(RIGHT($A16,1)))*ROW(PlayerGender))-1)="M",INDEX(HoleParM,L$3,0),INDEX(HoleParF,L$3,0)),Stableford_Points,2))</f>
        <v>2</v>
      </c>
      <c r="M21" s="11" cm="1">
        <f t="array" ref="M21">IF(ISBLANK(M18),"",VLOOKUP(M20-IF(INDEX(PlayerGender,SUMPRODUCT((PlayerPlayerNo=VALUE(RIGHT($A16,1)))*ROW(PlayerGender))-1)="M",INDEX(HoleParM,M$3,0),INDEX(HoleParF,M$3,0)),Stableford_Points,2))</f>
        <v>0</v>
      </c>
      <c r="N21" s="11" cm="1">
        <f t="array" ref="N21">IF(ISBLANK(N18),"",VLOOKUP(N20-IF(INDEX(PlayerGender,SUMPRODUCT((PlayerPlayerNo=VALUE(RIGHT($A16,1)))*ROW(PlayerGender))-1)="M",INDEX(HoleParM,N$3,0),INDEX(HoleParF,N$3,0)),Stableford_Points,2))</f>
        <v>1</v>
      </c>
      <c r="O21" s="11" cm="1">
        <f t="array" ref="O21">IF(ISBLANK(O18),"",VLOOKUP(O20-IF(INDEX(PlayerGender,SUMPRODUCT((PlayerPlayerNo=VALUE(RIGHT($A16,1)))*ROW(PlayerGender))-1)="M",INDEX(HoleParM,O$3,0),INDEX(HoleParF,O$3,0)),Stableford_Points,2))</f>
        <v>4</v>
      </c>
      <c r="P21" s="11" cm="1">
        <f t="array" ref="P21">IF(ISBLANK(P18),"",VLOOKUP(P20-IF(INDEX(PlayerGender,SUMPRODUCT((PlayerPlayerNo=VALUE(RIGHT($A16,1)))*ROW(PlayerGender))-1)="M",INDEX(HoleParM,P$3,0),INDEX(HoleParF,P$3,0)),Stableford_Points,2))</f>
        <v>0</v>
      </c>
      <c r="Q21" s="11" cm="1">
        <f t="array" ref="Q21">IF(ISBLANK(Q18),"",VLOOKUP(Q20-IF(INDEX(PlayerGender,SUMPRODUCT((PlayerPlayerNo=VALUE(RIGHT($A16,1)))*ROW(PlayerGender))-1)="M",INDEX(HoleParM,Q$3,0),INDEX(HoleParF,Q$3,0)),Stableford_Points,2))</f>
        <v>1</v>
      </c>
      <c r="R21" s="11" cm="1">
        <f t="array" ref="R21">IF(ISBLANK(R18),"",VLOOKUP(R20-IF(INDEX(PlayerGender,SUMPRODUCT((PlayerPlayerNo=VALUE(RIGHT($A16,1)))*ROW(PlayerGender))-1)="M",INDEX(HoleParM,R$3,0),INDEX(HoleParF,R$3,0)),Stableford_Points,2))</f>
        <v>1</v>
      </c>
      <c r="S21" s="11" cm="1">
        <f t="array" ref="S21">IF(ISBLANK(S18),"",VLOOKUP(S20-IF(INDEX(PlayerGender,SUMPRODUCT((PlayerPlayerNo=VALUE(RIGHT($A16,1)))*ROW(PlayerGender))-1)="M",INDEX(HoleParM,S$3,0),INDEX(HoleParF,S$3,0)),Stableford_Points,2))</f>
        <v>0</v>
      </c>
      <c r="T21" s="11">
        <f t="array" ref="T21">IF(AND(ISBLANK(B18:S18)), "", SUM(B21:S21))</f>
        <v>22</v>
      </c>
      <c r="U21" s="11">
        <f>T21</f>
        <v>22</v>
      </c>
      <c r="V21" s="16">
        <f>IF(U21 = "","",_xlfn.RANK.EQ(U21,U:U,0))</f>
        <v>6</v>
      </c>
      <c r="W21" s="7" t="str">
        <f>IF(U21="","",IF(COUNTIF(V:V,V21)&gt;1,CONCATENATE("T",V21),TEXT(V21,"0")))</f>
        <v>6</v>
      </c>
      <c r="X21" s="14">
        <f ca="1">IF(U21="","",IF(ISNA(VLOOKUP(V21,PlacePayouts,1,FALSE)),"",AVERAGE(OFFSET(PlacePayouts,VLOOKUP(V21,PlacePayouts,1,FALSE)-1,1,COUNTIF(V:V,V21)))*Kitty))</f>
        <v>0</v>
      </c>
    </row>
    <row r="22" spans="1:24" ht="15.75" x14ac:dyDescent="0.25">
      <c r="A22" s="7"/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6"/>
      <c r="W22" s="7"/>
      <c r="X22" s="14"/>
    </row>
    <row r="23" spans="1:24" ht="15.75" customHeight="1" x14ac:dyDescent="0.25">
      <c r="A23" s="7" t="s">
        <v>48</v>
      </c>
      <c r="B23" s="7" t="s">
        <v>0</v>
      </c>
      <c r="C23" s="8" t="s">
        <v>39</v>
      </c>
      <c r="D23" s="9" t="s">
        <v>18</v>
      </c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15"/>
      <c r="W23" s="7"/>
    </row>
    <row r="24" spans="1:24" ht="15.75" customHeight="1" x14ac:dyDescent="0.25">
      <c r="A24" s="7" t="str" cm="1">
        <f t="array" ref="A24">INDEX(PlayerNames,SUMPRODUCT((PlayerPlayerNo=VALUE(RIGHT(A23,1)))*ROW(PlayerNames))-1)</f>
        <v>Travis Hubbard</v>
      </c>
      <c r="B24" s="7" cm="1">
        <f t="array" ref="B24">INDEX(PlayerHandicaps,SUMPRODUCT((PlayerPlayerNo=VALUE(RIGHT($A23,1)))*ROW(PlayerHandicaps))-1)</f>
        <v>26</v>
      </c>
      <c r="C24" s="7" cm="1">
        <f t="array" ref="C24">IF(INDEX(PlayerGender,SUMPRODUCT((PlayerPlayerNo=VALUE(RIGHT($A23,1)))*ROW(PlayerGender))-1)="M",ROUND((B24*('Course &amp; Tourney'!$B$3/113))+('Course &amp; Tourney'!$B$4-'Course &amp; Tourney'!$B$5),0),ROUND((B24*('Course &amp; Tourney'!$B$7/113))+('Course &amp; Tourney'!$B$8-'Course &amp; Tourney'!$B$9),0))</f>
        <v>27</v>
      </c>
      <c r="D24" s="7">
        <f>MIN(ROUND(C24*Handicap_Allowance,0),Max_Handicap)</f>
        <v>27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 t="s">
        <v>4</v>
      </c>
      <c r="U24" s="7"/>
      <c r="V24" s="15"/>
      <c r="W24" s="7"/>
    </row>
    <row r="25" spans="1:24" ht="15.75" x14ac:dyDescent="0.25">
      <c r="A25" s="7" t="str">
        <f>_xlfn.CONCAT(A24," Gross")</f>
        <v>Travis Hubbard Gross</v>
      </c>
      <c r="B25" s="11">
        <v>7</v>
      </c>
      <c r="C25" s="11">
        <v>6</v>
      </c>
      <c r="D25" s="11">
        <v>3</v>
      </c>
      <c r="E25" s="11">
        <v>8</v>
      </c>
      <c r="F25" s="11">
        <v>5</v>
      </c>
      <c r="G25" s="11">
        <v>6</v>
      </c>
      <c r="H25" s="11">
        <v>4</v>
      </c>
      <c r="I25" s="11">
        <v>7</v>
      </c>
      <c r="J25" s="11">
        <v>5</v>
      </c>
      <c r="K25" s="11">
        <v>7</v>
      </c>
      <c r="L25" s="11">
        <v>6</v>
      </c>
      <c r="M25" s="11">
        <v>4</v>
      </c>
      <c r="N25" s="11">
        <v>6</v>
      </c>
      <c r="O25" s="11">
        <v>8</v>
      </c>
      <c r="P25" s="11">
        <v>6</v>
      </c>
      <c r="Q25" s="11">
        <v>6</v>
      </c>
      <c r="R25" s="11">
        <v>6</v>
      </c>
      <c r="S25" s="11">
        <v>5</v>
      </c>
      <c r="T25" s="11">
        <f>SUM(B25:S25)</f>
        <v>105</v>
      </c>
      <c r="U25" s="7"/>
      <c r="V25" s="15"/>
      <c r="W25" s="7"/>
    </row>
    <row r="26" spans="1:24" ht="15.75" x14ac:dyDescent="0.25">
      <c r="A26" s="7" t="str">
        <f>_xlfn.CONCAT(A24," Hcp Strokes")</f>
        <v>Travis Hubbard Hcp Strokes</v>
      </c>
      <c r="B26" s="11" cm="1">
        <f t="array" ref="B26">ROUNDDOWN($D24/18,0)+IF(MOD($D24,18)&gt;=IF(INDEX(PlayerGender,SUMPRODUCT((PlayerPlayerNo=VALUE(RIGHT($A23,1)))*ROW(PlayerGender))-1)="M",INDEX(HoleHandicapM,B$3,0),INDEX(HoleHandicapF,B$3,0)),1,0)</f>
        <v>2</v>
      </c>
      <c r="C26" s="11" cm="1">
        <f t="array" ref="C26">ROUNDDOWN($D24/18,0)+IF(MOD($D24,18)&gt;=IF(INDEX(PlayerGender,SUMPRODUCT((PlayerPlayerNo=VALUE(RIGHT($A23,1)))*ROW(PlayerGender))-1)="M",INDEX(HoleHandicapM,C$3,0),INDEX(HoleHandicapF,C$3,0)),1,0)</f>
        <v>2</v>
      </c>
      <c r="D26" s="11" cm="1">
        <f t="array" ref="D26">ROUNDDOWN($D24/18,0)+IF(MOD($D24,18)&gt;=IF(INDEX(PlayerGender,SUMPRODUCT((PlayerPlayerNo=VALUE(RIGHT($A23,1)))*ROW(PlayerGender))-1)="M",INDEX(HoleHandicapM,D$3,0),INDEX(HoleHandicapF,D$3,0)),1,0)</f>
        <v>1</v>
      </c>
      <c r="E26" s="11" cm="1">
        <f t="array" ref="E26">ROUNDDOWN($D24/18,0)+IF(MOD($D24,18)&gt;=IF(INDEX(PlayerGender,SUMPRODUCT((PlayerPlayerNo=VALUE(RIGHT($A23,1)))*ROW(PlayerGender))-1)="M",INDEX(HoleHandicapM,E$3,0),INDEX(HoleHandicapF,E$3,0)),1,0)</f>
        <v>1</v>
      </c>
      <c r="F26" s="11" cm="1">
        <f t="array" ref="F26">ROUNDDOWN($D24/18,0)+IF(MOD($D24,18)&gt;=IF(INDEX(PlayerGender,SUMPRODUCT((PlayerPlayerNo=VALUE(RIGHT($A23,1)))*ROW(PlayerGender))-1)="M",INDEX(HoleHandicapM,F$3,0),INDEX(HoleHandicapF,F$3,0)),1,0)</f>
        <v>2</v>
      </c>
      <c r="G26" s="11" cm="1">
        <f t="array" ref="G26">ROUNDDOWN($D24/18,0)+IF(MOD($D24,18)&gt;=IF(INDEX(PlayerGender,SUMPRODUCT((PlayerPlayerNo=VALUE(RIGHT($A23,1)))*ROW(PlayerGender))-1)="M",INDEX(HoleHandicapM,G$3,0),INDEX(HoleHandicapF,G$3,0)),1,0)</f>
        <v>1</v>
      </c>
      <c r="H26" s="11" cm="1">
        <f t="array" ref="H26">ROUNDDOWN($D24/18,0)+IF(MOD($D24,18)&gt;=IF(INDEX(PlayerGender,SUMPRODUCT((PlayerPlayerNo=VALUE(RIGHT($A23,1)))*ROW(PlayerGender))-1)="M",INDEX(HoleHandicapM,H$3,0),INDEX(HoleHandicapF,H$3,0)),1,0)</f>
        <v>1</v>
      </c>
      <c r="I26" s="11" cm="1">
        <f t="array" ref="I26">ROUNDDOWN($D24/18,0)+IF(MOD($D24,18)&gt;=IF(INDEX(PlayerGender,SUMPRODUCT((PlayerPlayerNo=VALUE(RIGHT($A23,1)))*ROW(PlayerGender))-1)="M",INDEX(HoleHandicapM,I$3,0),INDEX(HoleHandicapF,I$3,0)),1,0)</f>
        <v>2</v>
      </c>
      <c r="J26" s="11" cm="1">
        <f t="array" ref="J26">ROUNDDOWN($D24/18,0)+IF(MOD($D24,18)&gt;=IF(INDEX(PlayerGender,SUMPRODUCT((PlayerPlayerNo=VALUE(RIGHT($A23,1)))*ROW(PlayerGender))-1)="M",INDEX(HoleHandicapM,J$3,0),INDEX(HoleHandicapF,J$3,0)),1,0)</f>
        <v>2</v>
      </c>
      <c r="K26" s="11" cm="1">
        <f t="array" ref="K26">ROUNDDOWN($D24/18,0)+IF(MOD($D24,18)&gt;=IF(INDEX(PlayerGender,SUMPRODUCT((PlayerPlayerNo=VALUE(RIGHT($A23,1)))*ROW(PlayerGender))-1)="M",INDEX(HoleHandicapM,K$3,0),INDEX(HoleHandicapF,K$3,0)),1,0)</f>
        <v>2</v>
      </c>
      <c r="L26" s="11" cm="1">
        <f t="array" ref="L26">ROUNDDOWN($D24/18,0)+IF(MOD($D24,18)&gt;=IF(INDEX(PlayerGender,SUMPRODUCT((PlayerPlayerNo=VALUE(RIGHT($A23,1)))*ROW(PlayerGender))-1)="M",INDEX(HoleHandicapM,L$3,0),INDEX(HoleHandicapF,L$3,0)),1,0)</f>
        <v>1</v>
      </c>
      <c r="M26" s="11" cm="1">
        <f t="array" ref="M26">ROUNDDOWN($D24/18,0)+IF(MOD($D24,18)&gt;=IF(INDEX(PlayerGender,SUMPRODUCT((PlayerPlayerNo=VALUE(RIGHT($A23,1)))*ROW(PlayerGender))-1)="M",INDEX(HoleHandicapM,M$3,0),INDEX(HoleHandicapF,M$3,0)),1,0)</f>
        <v>2</v>
      </c>
      <c r="N26" s="11" cm="1">
        <f t="array" ref="N26">ROUNDDOWN($D24/18,0)+IF(MOD($D24,18)&gt;=IF(INDEX(PlayerGender,SUMPRODUCT((PlayerPlayerNo=VALUE(RIGHT($A23,1)))*ROW(PlayerGender))-1)="M",INDEX(HoleHandicapM,N$3,0),INDEX(HoleHandicapF,N$3,0)),1,0)</f>
        <v>1</v>
      </c>
      <c r="O26" s="11" cm="1">
        <f t="array" ref="O26">ROUNDDOWN($D24/18,0)+IF(MOD($D24,18)&gt;=IF(INDEX(PlayerGender,SUMPRODUCT((PlayerPlayerNo=VALUE(RIGHT($A23,1)))*ROW(PlayerGender))-1)="M",INDEX(HoleHandicapM,O$3,0),INDEX(HoleHandicapF,O$3,0)),1,0)</f>
        <v>2</v>
      </c>
      <c r="P26" s="11" cm="1">
        <f t="array" ref="P26">ROUNDDOWN($D24/18,0)+IF(MOD($D24,18)&gt;=IF(INDEX(PlayerGender,SUMPRODUCT((PlayerPlayerNo=VALUE(RIGHT($A23,1)))*ROW(PlayerGender))-1)="M",INDEX(HoleHandicapM,P$3,0),INDEX(HoleHandicapF,P$3,0)),1,0)</f>
        <v>1</v>
      </c>
      <c r="Q26" s="11" cm="1">
        <f t="array" ref="Q26">ROUNDDOWN($D24/18,0)+IF(MOD($D24,18)&gt;=IF(INDEX(PlayerGender,SUMPRODUCT((PlayerPlayerNo=VALUE(RIGHT($A23,1)))*ROW(PlayerGender))-1)="M",INDEX(HoleHandicapM,Q$3,0),INDEX(HoleHandicapF,Q$3,0)),1,0)</f>
        <v>1</v>
      </c>
      <c r="R26" s="11" cm="1">
        <f t="array" ref="R26">ROUNDDOWN($D24/18,0)+IF(MOD($D24,18)&gt;=IF(INDEX(PlayerGender,SUMPRODUCT((PlayerPlayerNo=VALUE(RIGHT($A23,1)))*ROW(PlayerGender))-1)="M",INDEX(HoleHandicapM,R$3,0),INDEX(HoleHandicapF,R$3,0)),1,0)</f>
        <v>1</v>
      </c>
      <c r="S26" s="11" cm="1">
        <f t="array" ref="S26">ROUNDDOWN($D24/18,0)+IF(MOD($D24,18)&gt;=IF(INDEX(PlayerGender,SUMPRODUCT((PlayerPlayerNo=VALUE(RIGHT($A23,1)))*ROW(PlayerGender))-1)="M",INDEX(HoleHandicapM,S$3,0),INDEX(HoleHandicapF,S$3,0)),1,0)</f>
        <v>2</v>
      </c>
      <c r="T26" s="11">
        <f>SUM(B26:S26)</f>
        <v>27</v>
      </c>
      <c r="U26" s="7"/>
      <c r="V26" s="15"/>
      <c r="W26" s="7"/>
    </row>
    <row r="27" spans="1:24" ht="15.75" x14ac:dyDescent="0.25">
      <c r="A27" s="7" t="str">
        <f>_xlfn.CONCAT(A24," Net")</f>
        <v>Travis Hubbard Net</v>
      </c>
      <c r="B27" s="11">
        <f>IF(B25-B26&gt;0,B25-B26,"")</f>
        <v>5</v>
      </c>
      <c r="C27" s="11">
        <f t="shared" ref="C27" si="18">IF(C25-C26&gt;0,C25-C26,"")</f>
        <v>4</v>
      </c>
      <c r="D27" s="11">
        <f t="shared" ref="D27" si="19">IF(D25-D26&gt;0,D25-D26,"")</f>
        <v>2</v>
      </c>
      <c r="E27" s="11">
        <f t="shared" ref="E27" si="20">IF(E25-E26&gt;0,E25-E26,"")</f>
        <v>7</v>
      </c>
      <c r="F27" s="11">
        <f t="shared" ref="F27" si="21">IF(F25-F26&gt;0,F25-F26,"")</f>
        <v>3</v>
      </c>
      <c r="G27" s="11">
        <f t="shared" ref="G27" si="22">IF(G25-G26&gt;0,G25-G26,"")</f>
        <v>5</v>
      </c>
      <c r="H27" s="11">
        <f t="shared" ref="H27" si="23">IF(H25-H26&gt;0,H25-H26,"")</f>
        <v>3</v>
      </c>
      <c r="I27" s="11">
        <f t="shared" ref="I27" si="24">IF(I25-I26&gt;0,I25-I26,"")</f>
        <v>5</v>
      </c>
      <c r="J27" s="11">
        <f t="shared" ref="J27" si="25">IF(J25-J26&gt;0,J25-J26,"")</f>
        <v>3</v>
      </c>
      <c r="K27" s="11">
        <f t="shared" ref="K27" si="26">IF(K25-K26&gt;0,K25-K26,"")</f>
        <v>5</v>
      </c>
      <c r="L27" s="11">
        <f t="shared" ref="L27" si="27">IF(L25-L26&gt;0,L25-L26,"")</f>
        <v>5</v>
      </c>
      <c r="M27" s="11">
        <f t="shared" ref="M27" si="28">IF(M25-M26&gt;0,M25-M26,"")</f>
        <v>2</v>
      </c>
      <c r="N27" s="11">
        <f t="shared" ref="N27" si="29">IF(N25-N26&gt;0,N25-N26,"")</f>
        <v>5</v>
      </c>
      <c r="O27" s="11">
        <f t="shared" ref="O27" si="30">IF(O25-O26&gt;0,O25-O26,"")</f>
        <v>6</v>
      </c>
      <c r="P27" s="11">
        <f t="shared" ref="P27" si="31">IF(P25-P26&gt;0,P25-P26,"")</f>
        <v>5</v>
      </c>
      <c r="Q27" s="11">
        <f t="shared" ref="Q27" si="32">IF(Q25-Q26&gt;0,Q25-Q26,"")</f>
        <v>5</v>
      </c>
      <c r="R27" s="11">
        <f t="shared" ref="R27" si="33">IF(R25-R26&gt;0,R25-R26,"")</f>
        <v>5</v>
      </c>
      <c r="S27" s="11">
        <f t="shared" ref="S27" si="34">IF(S25-S26&gt;0,S25-S26,"")</f>
        <v>3</v>
      </c>
      <c r="T27" s="11">
        <f>IF(SUM(B27:S27)&gt;0,SUM(B27:S27),"")</f>
        <v>78</v>
      </c>
      <c r="U27" s="7"/>
      <c r="V27" s="15"/>
      <c r="W27" s="7"/>
    </row>
    <row r="28" spans="1:24" ht="15.75" x14ac:dyDescent="0.25">
      <c r="A28" s="7" t="str">
        <f>_xlfn.CONCAT(A24," Stableford Points")</f>
        <v>Travis Hubbard Stableford Points</v>
      </c>
      <c r="B28" s="11" cm="1">
        <f t="array" ref="B28">IF(ISBLANK(B25),"",VLOOKUP(B27-IF(INDEX(PlayerGender,SUMPRODUCT((PlayerPlayerNo=VALUE(RIGHT($A23,1)))*ROW(PlayerGender))-1)="M",INDEX(HoleParM,B$3,0),INDEX(HoleParF,B$3,0)),Stableford_Points,2))</f>
        <v>1</v>
      </c>
      <c r="C28" s="11" cm="1">
        <f t="array" ref="C28">IF(ISBLANK(C25),"",VLOOKUP(C27-IF(INDEX(PlayerGender,SUMPRODUCT((PlayerPlayerNo=VALUE(RIGHT($A23,1)))*ROW(PlayerGender))-1)="M",INDEX(HoleParM,C$3,0),INDEX(HoleParF,C$3,0)),Stableford_Points,2))</f>
        <v>2</v>
      </c>
      <c r="D28" s="11" cm="1">
        <f t="array" ref="D28">IF(ISBLANK(D25),"",VLOOKUP(D27-IF(INDEX(PlayerGender,SUMPRODUCT((PlayerPlayerNo=VALUE(RIGHT($A23,1)))*ROW(PlayerGender))-1)="M",INDEX(HoleParM,D$3,0),INDEX(HoleParF,D$3,0)),Stableford_Points,2))</f>
        <v>4</v>
      </c>
      <c r="E28" s="11" cm="1">
        <f t="array" ref="E28">IF(ISBLANK(E25),"",VLOOKUP(E27-IF(INDEX(PlayerGender,SUMPRODUCT((PlayerPlayerNo=VALUE(RIGHT($A23,1)))*ROW(PlayerGender))-1)="M",INDEX(HoleParM,E$3,0),INDEX(HoleParF,E$3,0)),Stableford_Points,2))</f>
        <v>0</v>
      </c>
      <c r="F28" s="11" cm="1">
        <f t="array" ref="F28">IF(ISBLANK(F25),"",VLOOKUP(F27-IF(INDEX(PlayerGender,SUMPRODUCT((PlayerPlayerNo=VALUE(RIGHT($A23,1)))*ROW(PlayerGender))-1)="M",INDEX(HoleParM,F$3,0),INDEX(HoleParF,F$3,0)),Stableford_Points,2))</f>
        <v>4</v>
      </c>
      <c r="G28" s="11" cm="1">
        <f t="array" ref="G28">IF(ISBLANK(G25),"",VLOOKUP(G27-IF(INDEX(PlayerGender,SUMPRODUCT((PlayerPlayerNo=VALUE(RIGHT($A23,1)))*ROW(PlayerGender))-1)="M",INDEX(HoleParM,G$3,0),INDEX(HoleParF,G$3,0)),Stableford_Points,2))</f>
        <v>1</v>
      </c>
      <c r="H28" s="11" cm="1">
        <f t="array" ref="H28">IF(ISBLANK(H25),"",VLOOKUP(H27-IF(INDEX(PlayerGender,SUMPRODUCT((PlayerPlayerNo=VALUE(RIGHT($A23,1)))*ROW(PlayerGender))-1)="M",INDEX(HoleParM,H$3,0),INDEX(HoleParF,H$3,0)),Stableford_Points,2))</f>
        <v>2</v>
      </c>
      <c r="I28" s="11" cm="1">
        <f t="array" ref="I28">IF(ISBLANK(I25),"",VLOOKUP(I27-IF(INDEX(PlayerGender,SUMPRODUCT((PlayerPlayerNo=VALUE(RIGHT($A23,1)))*ROW(PlayerGender))-1)="M",INDEX(HoleParM,I$3,0),INDEX(HoleParF,I$3,0)),Stableford_Points,2))</f>
        <v>2</v>
      </c>
      <c r="J28" s="11" cm="1">
        <f t="array" ref="J28">IF(ISBLANK(J25),"",VLOOKUP(J27-IF(INDEX(PlayerGender,SUMPRODUCT((PlayerPlayerNo=VALUE(RIGHT($A23,1)))*ROW(PlayerGender))-1)="M",INDEX(HoleParM,J$3,0),INDEX(HoleParF,J$3,0)),Stableford_Points,2))</f>
        <v>4</v>
      </c>
      <c r="K28" s="11" cm="1">
        <f t="array" ref="K28">IF(ISBLANK(K25),"",VLOOKUP(K27-IF(INDEX(PlayerGender,SUMPRODUCT((PlayerPlayerNo=VALUE(RIGHT($A23,1)))*ROW(PlayerGender))-1)="M",INDEX(HoleParM,K$3,0),INDEX(HoleParF,K$3,0)),Stableford_Points,2))</f>
        <v>1</v>
      </c>
      <c r="L28" s="11" cm="1">
        <f t="array" ref="L28">IF(ISBLANK(L25),"",VLOOKUP(L27-IF(INDEX(PlayerGender,SUMPRODUCT((PlayerPlayerNo=VALUE(RIGHT($A23,1)))*ROW(PlayerGender))-1)="M",INDEX(HoleParM,L$3,0),INDEX(HoleParF,L$3,0)),Stableford_Points,2))</f>
        <v>0</v>
      </c>
      <c r="M28" s="11" cm="1">
        <f t="array" ref="M28">IF(ISBLANK(M25),"",VLOOKUP(M27-IF(INDEX(PlayerGender,SUMPRODUCT((PlayerPlayerNo=VALUE(RIGHT($A23,1)))*ROW(PlayerGender))-1)="M",INDEX(HoleParM,M$3,0),INDEX(HoleParF,M$3,0)),Stableford_Points,2))</f>
        <v>8</v>
      </c>
      <c r="N28" s="11" cm="1">
        <f t="array" ref="N28">IF(ISBLANK(N25),"",VLOOKUP(N27-IF(INDEX(PlayerGender,SUMPRODUCT((PlayerPlayerNo=VALUE(RIGHT($A23,1)))*ROW(PlayerGender))-1)="M",INDEX(HoleParM,N$3,0),INDEX(HoleParF,N$3,0)),Stableford_Points,2))</f>
        <v>1</v>
      </c>
      <c r="O28" s="11" cm="1">
        <f t="array" ref="O28">IF(ISBLANK(O25),"",VLOOKUP(O27-IF(INDEX(PlayerGender,SUMPRODUCT((PlayerPlayerNo=VALUE(RIGHT($A23,1)))*ROW(PlayerGender))-1)="M",INDEX(HoleParM,O$3,0),INDEX(HoleParF,O$3,0)),Stableford_Points,2))</f>
        <v>1</v>
      </c>
      <c r="P28" s="11" cm="1">
        <f t="array" ref="P28">IF(ISBLANK(P25),"",VLOOKUP(P27-IF(INDEX(PlayerGender,SUMPRODUCT((PlayerPlayerNo=VALUE(RIGHT($A23,1)))*ROW(PlayerGender))-1)="M",INDEX(HoleParM,P$3,0),INDEX(HoleParF,P$3,0)),Stableford_Points,2))</f>
        <v>1</v>
      </c>
      <c r="Q28" s="11" cm="1">
        <f t="array" ref="Q28">IF(ISBLANK(Q25),"",VLOOKUP(Q27-IF(INDEX(PlayerGender,SUMPRODUCT((PlayerPlayerNo=VALUE(RIGHT($A23,1)))*ROW(PlayerGender))-1)="M",INDEX(HoleParM,Q$3,0),INDEX(HoleParF,Q$3,0)),Stableford_Points,2))</f>
        <v>1</v>
      </c>
      <c r="R28" s="11" cm="1">
        <f t="array" ref="R28">IF(ISBLANK(R25),"",VLOOKUP(R27-IF(INDEX(PlayerGender,SUMPRODUCT((PlayerPlayerNo=VALUE(RIGHT($A23,1)))*ROW(PlayerGender))-1)="M",INDEX(HoleParM,R$3,0),INDEX(HoleParF,R$3,0)),Stableford_Points,2))</f>
        <v>0</v>
      </c>
      <c r="S28" s="11" cm="1">
        <f t="array" ref="S28">IF(ISBLANK(S25),"",VLOOKUP(S27-IF(INDEX(PlayerGender,SUMPRODUCT((PlayerPlayerNo=VALUE(RIGHT($A23,1)))*ROW(PlayerGender))-1)="M",INDEX(HoleParM,S$3,0),INDEX(HoleParF,S$3,0)),Stableford_Points,2))</f>
        <v>8</v>
      </c>
      <c r="T28" s="11">
        <f t="array" ref="T28">IF(AND(ISBLANK(B25:S25)), "", SUM(B28:S28))</f>
        <v>41</v>
      </c>
      <c r="U28" s="11">
        <f>T28</f>
        <v>41</v>
      </c>
      <c r="V28" s="16">
        <f>IF(U28 = "","",_xlfn.RANK.EQ(U28,U:U,0))</f>
        <v>2</v>
      </c>
      <c r="W28" s="7" t="str">
        <f>IF(U28="","",IF(COUNTIF(V:V,V28)&gt;1,CONCATENATE("T",V28),TEXT(V28,"0")))</f>
        <v>2</v>
      </c>
      <c r="X28" s="14">
        <f ca="1">IF(U28="","",IF(ISNA(VLOOKUP(V28,PlacePayouts,1,FALSE)),"",AVERAGE(OFFSET(PlacePayouts,VLOOKUP(V28,PlacePayouts,1,FALSE)-1,1,COUNTIF(V:V,V28)))*Kitty))</f>
        <v>18</v>
      </c>
    </row>
    <row r="29" spans="1:24" ht="15.75" x14ac:dyDescent="0.25">
      <c r="A29" s="7"/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20"/>
      <c r="U29" s="7"/>
      <c r="V29" s="15"/>
      <c r="W29" s="7"/>
    </row>
    <row r="30" spans="1:24" ht="31.5" x14ac:dyDescent="0.25">
      <c r="A30" s="7" t="s">
        <v>50</v>
      </c>
      <c r="B30" s="7" t="s">
        <v>0</v>
      </c>
      <c r="C30" s="8" t="s">
        <v>39</v>
      </c>
      <c r="D30" s="9" t="s">
        <v>18</v>
      </c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15"/>
      <c r="W30" s="7"/>
    </row>
    <row r="31" spans="1:24" ht="15.75" x14ac:dyDescent="0.25">
      <c r="A31" s="7" t="str" cm="1">
        <f t="array" ref="A31">INDEX(PlayerNames,SUMPRODUCT((PlayerPlayerNo=VALUE(RIGHT(A30,1)))*ROW(PlayerNames))-1)</f>
        <v>Andrew Blunk</v>
      </c>
      <c r="B31" s="7" cm="1">
        <f t="array" ref="B31">INDEX(PlayerHandicaps,SUMPRODUCT((PlayerPlayerNo=VALUE(RIGHT($A30,1)))*ROW(PlayerHandicaps))-1)</f>
        <v>16.7</v>
      </c>
      <c r="C31" s="7" cm="1">
        <f t="array" ref="C31">IF(INDEX(PlayerGender,SUMPRODUCT((PlayerPlayerNo=VALUE(RIGHT($A30,1)))*ROW(PlayerGender))-1)="M",ROUND((B31*('Course &amp; Tourney'!$B$3/113))+('Course &amp; Tourney'!$B$4-'Course &amp; Tourney'!$B$5),0),ROUND((B31*('Course &amp; Tourney'!$B$7/113))+('Course &amp; Tourney'!$B$8-'Course &amp; Tourney'!$B$9),0))</f>
        <v>17</v>
      </c>
      <c r="D31" s="7">
        <f>MIN(ROUND(C31*Handicap_Allowance,0),Max_Handicap)</f>
        <v>17</v>
      </c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 t="s">
        <v>4</v>
      </c>
      <c r="U31" s="7"/>
      <c r="V31" s="15"/>
      <c r="W31" s="7"/>
    </row>
    <row r="32" spans="1:24" ht="15.75" x14ac:dyDescent="0.25">
      <c r="A32" s="7" t="str">
        <f>_xlfn.CONCAT(A31," Gross")</f>
        <v>Andrew Blunk Gross</v>
      </c>
      <c r="B32" s="11">
        <v>6</v>
      </c>
      <c r="C32" s="11">
        <v>7</v>
      </c>
      <c r="D32" s="11">
        <v>4</v>
      </c>
      <c r="E32" s="11">
        <v>5</v>
      </c>
      <c r="F32" s="11">
        <v>6</v>
      </c>
      <c r="G32" s="11">
        <v>6</v>
      </c>
      <c r="H32" s="11">
        <v>4</v>
      </c>
      <c r="I32" s="11">
        <v>4</v>
      </c>
      <c r="J32" s="11">
        <v>4</v>
      </c>
      <c r="K32" s="11">
        <v>5</v>
      </c>
      <c r="L32" s="11">
        <v>3</v>
      </c>
      <c r="M32" s="11">
        <v>5</v>
      </c>
      <c r="N32" s="11">
        <v>4</v>
      </c>
      <c r="O32" s="11">
        <v>6</v>
      </c>
      <c r="P32" s="11">
        <v>7</v>
      </c>
      <c r="Q32" s="11">
        <v>6</v>
      </c>
      <c r="R32" s="11">
        <v>5</v>
      </c>
      <c r="S32" s="11">
        <v>6</v>
      </c>
      <c r="T32" s="11">
        <f>SUM(B32:S32)</f>
        <v>93</v>
      </c>
      <c r="U32" s="7"/>
      <c r="V32" s="15"/>
      <c r="W32" s="7"/>
    </row>
    <row r="33" spans="1:24" ht="15.75" x14ac:dyDescent="0.25">
      <c r="A33" s="7" t="str">
        <f>_xlfn.CONCAT(A31," Hcp Strokes")</f>
        <v>Andrew Blunk Hcp Strokes</v>
      </c>
      <c r="B33" s="11" cm="1">
        <f t="array" ref="B33">ROUNDDOWN($D31/18,0)+IF(MOD($D31,18)&gt;=IF(INDEX(PlayerGender,SUMPRODUCT((PlayerPlayerNo=VALUE(RIGHT($A30,1)))*ROW(PlayerGender))-1)="M",INDEX(HoleHandicapM,B$3,0),INDEX(HoleHandicapF,B$3,0)),1,0)</f>
        <v>1</v>
      </c>
      <c r="C33" s="11" cm="1">
        <f t="array" ref="C33">ROUNDDOWN($D31/18,0)+IF(MOD($D31,18)&gt;=IF(INDEX(PlayerGender,SUMPRODUCT((PlayerPlayerNo=VALUE(RIGHT($A30,1)))*ROW(PlayerGender))-1)="M",INDEX(HoleHandicapM,C$3,0),INDEX(HoleHandicapF,C$3,0)),1,0)</f>
        <v>1</v>
      </c>
      <c r="D33" s="11" cm="1">
        <f t="array" ref="D33">ROUNDDOWN($D31/18,0)+IF(MOD($D31,18)&gt;=IF(INDEX(PlayerGender,SUMPRODUCT((PlayerPlayerNo=VALUE(RIGHT($A30,1)))*ROW(PlayerGender))-1)="M",INDEX(HoleHandicapM,D$3,0),INDEX(HoleHandicapF,D$3,0)),1,0)</f>
        <v>1</v>
      </c>
      <c r="E33" s="11" cm="1">
        <f t="array" ref="E33">ROUNDDOWN($D31/18,0)+IF(MOD($D31,18)&gt;=IF(INDEX(PlayerGender,SUMPRODUCT((PlayerPlayerNo=VALUE(RIGHT($A30,1)))*ROW(PlayerGender))-1)="M",INDEX(HoleHandicapM,E$3,0),INDEX(HoleHandicapF,E$3,0)),1,0)</f>
        <v>1</v>
      </c>
      <c r="F33" s="11" cm="1">
        <f t="array" ref="F33">ROUNDDOWN($D31/18,0)+IF(MOD($D31,18)&gt;=IF(INDEX(PlayerGender,SUMPRODUCT((PlayerPlayerNo=VALUE(RIGHT($A30,1)))*ROW(PlayerGender))-1)="M",INDEX(HoleHandicapM,F$3,0),INDEX(HoleHandicapF,F$3,0)),1,0)</f>
        <v>1</v>
      </c>
      <c r="G33" s="11" cm="1">
        <f t="array" ref="G33">ROUNDDOWN($D31/18,0)+IF(MOD($D31,18)&gt;=IF(INDEX(PlayerGender,SUMPRODUCT((PlayerPlayerNo=VALUE(RIGHT($A30,1)))*ROW(PlayerGender))-1)="M",INDEX(HoleHandicapM,G$3,0),INDEX(HoleHandicapF,G$3,0)),1,0)</f>
        <v>1</v>
      </c>
      <c r="H33" s="11" cm="1">
        <f t="array" ref="H33">ROUNDDOWN($D31/18,0)+IF(MOD($D31,18)&gt;=IF(INDEX(PlayerGender,SUMPRODUCT((PlayerPlayerNo=VALUE(RIGHT($A30,1)))*ROW(PlayerGender))-1)="M",INDEX(HoleHandicapM,H$3,0),INDEX(HoleHandicapF,H$3,0)),1,0)</f>
        <v>1</v>
      </c>
      <c r="I33" s="11" cm="1">
        <f t="array" ref="I33">ROUNDDOWN($D31/18,0)+IF(MOD($D31,18)&gt;=IF(INDEX(PlayerGender,SUMPRODUCT((PlayerPlayerNo=VALUE(RIGHT($A30,1)))*ROW(PlayerGender))-1)="M",INDEX(HoleHandicapM,I$3,0),INDEX(HoleHandicapF,I$3,0)),1,0)</f>
        <v>1</v>
      </c>
      <c r="J33" s="11" cm="1">
        <f t="array" ref="J33">ROUNDDOWN($D31/18,0)+IF(MOD($D31,18)&gt;=IF(INDEX(PlayerGender,SUMPRODUCT((PlayerPlayerNo=VALUE(RIGHT($A30,1)))*ROW(PlayerGender))-1)="M",INDEX(HoleHandicapM,J$3,0),INDEX(HoleHandicapF,J$3,0)),1,0)</f>
        <v>1</v>
      </c>
      <c r="K33" s="11" cm="1">
        <f t="array" ref="K33">ROUNDDOWN($D31/18,0)+IF(MOD($D31,18)&gt;=IF(INDEX(PlayerGender,SUMPRODUCT((PlayerPlayerNo=VALUE(RIGHT($A30,1)))*ROW(PlayerGender))-1)="M",INDEX(HoleHandicapM,K$3,0),INDEX(HoleHandicapF,K$3,0)),1,0)</f>
        <v>1</v>
      </c>
      <c r="L33" s="11" cm="1">
        <f t="array" ref="L33">ROUNDDOWN($D31/18,0)+IF(MOD($D31,18)&gt;=IF(INDEX(PlayerGender,SUMPRODUCT((PlayerPlayerNo=VALUE(RIGHT($A30,1)))*ROW(PlayerGender))-1)="M",INDEX(HoleHandicapM,L$3,0),INDEX(HoleHandicapF,L$3,0)),1,0)</f>
        <v>1</v>
      </c>
      <c r="M33" s="11" cm="1">
        <f t="array" ref="M33">ROUNDDOWN($D31/18,0)+IF(MOD($D31,18)&gt;=IF(INDEX(PlayerGender,SUMPRODUCT((PlayerPlayerNo=VALUE(RIGHT($A30,1)))*ROW(PlayerGender))-1)="M",INDEX(HoleHandicapM,M$3,0),INDEX(HoleHandicapF,M$3,0)),1,0)</f>
        <v>1</v>
      </c>
      <c r="N33" s="11" cm="1">
        <f t="array" ref="N33">ROUNDDOWN($D31/18,0)+IF(MOD($D31,18)&gt;=IF(INDEX(PlayerGender,SUMPRODUCT((PlayerPlayerNo=VALUE(RIGHT($A30,1)))*ROW(PlayerGender))-1)="M",INDEX(HoleHandicapM,N$3,0),INDEX(HoleHandicapF,N$3,0)),1,0)</f>
        <v>1</v>
      </c>
      <c r="O33" s="11" cm="1">
        <f t="array" ref="O33">ROUNDDOWN($D31/18,0)+IF(MOD($D31,18)&gt;=IF(INDEX(PlayerGender,SUMPRODUCT((PlayerPlayerNo=VALUE(RIGHT($A30,1)))*ROW(PlayerGender))-1)="M",INDEX(HoleHandicapM,O$3,0),INDEX(HoleHandicapF,O$3,0)),1,0)</f>
        <v>1</v>
      </c>
      <c r="P33" s="11" cm="1">
        <f t="array" ref="P33">ROUNDDOWN($D31/18,0)+IF(MOD($D31,18)&gt;=IF(INDEX(PlayerGender,SUMPRODUCT((PlayerPlayerNo=VALUE(RIGHT($A30,1)))*ROW(PlayerGender))-1)="M",INDEX(HoleHandicapM,P$3,0),INDEX(HoleHandicapF,P$3,0)),1,0)</f>
        <v>1</v>
      </c>
      <c r="Q33" s="11" cm="1">
        <f t="array" ref="Q33">ROUNDDOWN($D31/18,0)+IF(MOD($D31,18)&gt;=IF(INDEX(PlayerGender,SUMPRODUCT((PlayerPlayerNo=VALUE(RIGHT($A30,1)))*ROW(PlayerGender))-1)="M",INDEX(HoleHandicapM,Q$3,0),INDEX(HoleHandicapF,Q$3,0)),1,0)</f>
        <v>0</v>
      </c>
      <c r="R33" s="11" cm="1">
        <f t="array" ref="R33">ROUNDDOWN($D31/18,0)+IF(MOD($D31,18)&gt;=IF(INDEX(PlayerGender,SUMPRODUCT((PlayerPlayerNo=VALUE(RIGHT($A30,1)))*ROW(PlayerGender))-1)="M",INDEX(HoleHandicapM,R$3,0),INDEX(HoleHandicapF,R$3,0)),1,0)</f>
        <v>1</v>
      </c>
      <c r="S33" s="11" cm="1">
        <f t="array" ref="S33">ROUNDDOWN($D31/18,0)+IF(MOD($D31,18)&gt;=IF(INDEX(PlayerGender,SUMPRODUCT((PlayerPlayerNo=VALUE(RIGHT($A30,1)))*ROW(PlayerGender))-1)="M",INDEX(HoleHandicapM,S$3,0),INDEX(HoleHandicapF,S$3,0)),1,0)</f>
        <v>1</v>
      </c>
      <c r="T33" s="11">
        <f>SUM(B33:S33)</f>
        <v>17</v>
      </c>
      <c r="U33" s="7"/>
      <c r="V33" s="15"/>
      <c r="W33" s="7"/>
    </row>
    <row r="34" spans="1:24" ht="15.75" customHeight="1" x14ac:dyDescent="0.25">
      <c r="A34" s="7" t="str">
        <f>_xlfn.CONCAT(A31," Net")</f>
        <v>Andrew Blunk Net</v>
      </c>
      <c r="B34" s="11">
        <f>IF(B32-B33&gt;0,B32-B33,"")</f>
        <v>5</v>
      </c>
      <c r="C34" s="11">
        <f t="shared" ref="C34" si="35">IF(C32-C33&gt;0,C32-C33,"")</f>
        <v>6</v>
      </c>
      <c r="D34" s="11">
        <f t="shared" ref="D34" si="36">IF(D32-D33&gt;0,D32-D33,"")</f>
        <v>3</v>
      </c>
      <c r="E34" s="11">
        <f t="shared" ref="E34" si="37">IF(E32-E33&gt;0,E32-E33,"")</f>
        <v>4</v>
      </c>
      <c r="F34" s="11">
        <f t="shared" ref="F34" si="38">IF(F32-F33&gt;0,F32-F33,"")</f>
        <v>5</v>
      </c>
      <c r="G34" s="11">
        <f t="shared" ref="G34" si="39">IF(G32-G33&gt;0,G32-G33,"")</f>
        <v>5</v>
      </c>
      <c r="H34" s="11">
        <f t="shared" ref="H34" si="40">IF(H32-H33&gt;0,H32-H33,"")</f>
        <v>3</v>
      </c>
      <c r="I34" s="11">
        <f t="shared" ref="I34" si="41">IF(I32-I33&gt;0,I32-I33,"")</f>
        <v>3</v>
      </c>
      <c r="J34" s="11">
        <f t="shared" ref="J34" si="42">IF(J32-J33&gt;0,J32-J33,"")</f>
        <v>3</v>
      </c>
      <c r="K34" s="11">
        <f t="shared" ref="K34" si="43">IF(K32-K33&gt;0,K32-K33,"")</f>
        <v>4</v>
      </c>
      <c r="L34" s="11">
        <f t="shared" ref="L34" si="44">IF(L32-L33&gt;0,L32-L33,"")</f>
        <v>2</v>
      </c>
      <c r="M34" s="11">
        <f t="shared" ref="M34" si="45">IF(M32-M33&gt;0,M32-M33,"")</f>
        <v>4</v>
      </c>
      <c r="N34" s="11">
        <f t="shared" ref="N34" si="46">IF(N32-N33&gt;0,N32-N33,"")</f>
        <v>3</v>
      </c>
      <c r="O34" s="11">
        <f t="shared" ref="O34" si="47">IF(O32-O33&gt;0,O32-O33,"")</f>
        <v>5</v>
      </c>
      <c r="P34" s="11">
        <f t="shared" ref="P34" si="48">IF(P32-P33&gt;0,P32-P33,"")</f>
        <v>6</v>
      </c>
      <c r="Q34" s="11">
        <f t="shared" ref="Q34" si="49">IF(Q32-Q33&gt;0,Q32-Q33,"")</f>
        <v>6</v>
      </c>
      <c r="R34" s="11">
        <f t="shared" ref="R34" si="50">IF(R32-R33&gt;0,R32-R33,"")</f>
        <v>4</v>
      </c>
      <c r="S34" s="11">
        <f t="shared" ref="S34" si="51">IF(S32-S33&gt;0,S32-S33,"")</f>
        <v>5</v>
      </c>
      <c r="T34" s="11">
        <f>IF(SUM(B34:S34)&gt;0,SUM(B34:S34),"")</f>
        <v>76</v>
      </c>
      <c r="U34" s="7"/>
      <c r="V34" s="15"/>
      <c r="W34" s="7"/>
    </row>
    <row r="35" spans="1:24" ht="15.75" customHeight="1" x14ac:dyDescent="0.25">
      <c r="A35" s="7" t="str">
        <f>_xlfn.CONCAT(A31," Stableford Points")</f>
        <v>Andrew Blunk Stableford Points</v>
      </c>
      <c r="B35" s="11" cm="1">
        <f t="array" ref="B35">IF(ISBLANK(B32),"",VLOOKUP(B34-IF(INDEX(PlayerGender,SUMPRODUCT((PlayerPlayerNo=VALUE(RIGHT($A30,1)))*ROW(PlayerGender))-1)="M",INDEX(HoleParM,B$3,0),INDEX(HoleParF,B$3,0)),Stableford_Points,2))</f>
        <v>1</v>
      </c>
      <c r="C35" s="11" cm="1">
        <f t="array" ref="C35">IF(ISBLANK(C32),"",VLOOKUP(C34-IF(INDEX(PlayerGender,SUMPRODUCT((PlayerPlayerNo=VALUE(RIGHT($A30,1)))*ROW(PlayerGender))-1)="M",INDEX(HoleParM,C$3,0),INDEX(HoleParF,C$3,0)),Stableford_Points,2))</f>
        <v>0</v>
      </c>
      <c r="D35" s="11" cm="1">
        <f t="array" ref="D35">IF(ISBLANK(D32),"",VLOOKUP(D34-IF(INDEX(PlayerGender,SUMPRODUCT((PlayerPlayerNo=VALUE(RIGHT($A30,1)))*ROW(PlayerGender))-1)="M",INDEX(HoleParM,D$3,0),INDEX(HoleParF,D$3,0)),Stableford_Points,2))</f>
        <v>2</v>
      </c>
      <c r="E35" s="11" cm="1">
        <f t="array" ref="E35">IF(ISBLANK(E32),"",VLOOKUP(E34-IF(INDEX(PlayerGender,SUMPRODUCT((PlayerPlayerNo=VALUE(RIGHT($A30,1)))*ROW(PlayerGender))-1)="M",INDEX(HoleParM,E$3,0),INDEX(HoleParF,E$3,0)),Stableford_Points,2))</f>
        <v>4</v>
      </c>
      <c r="F35" s="11" cm="1">
        <f t="array" ref="F35">IF(ISBLANK(F32),"",VLOOKUP(F34-IF(INDEX(PlayerGender,SUMPRODUCT((PlayerPlayerNo=VALUE(RIGHT($A30,1)))*ROW(PlayerGender))-1)="M",INDEX(HoleParM,F$3,0),INDEX(HoleParF,F$3,0)),Stableford_Points,2))</f>
        <v>1</v>
      </c>
      <c r="G35" s="11" cm="1">
        <f t="array" ref="G35">IF(ISBLANK(G32),"",VLOOKUP(G34-IF(INDEX(PlayerGender,SUMPRODUCT((PlayerPlayerNo=VALUE(RIGHT($A30,1)))*ROW(PlayerGender))-1)="M",INDEX(HoleParM,G$3,0),INDEX(HoleParF,G$3,0)),Stableford_Points,2))</f>
        <v>1</v>
      </c>
      <c r="H35" s="11" cm="1">
        <f t="array" ref="H35">IF(ISBLANK(H32),"",VLOOKUP(H34-IF(INDEX(PlayerGender,SUMPRODUCT((PlayerPlayerNo=VALUE(RIGHT($A30,1)))*ROW(PlayerGender))-1)="M",INDEX(HoleParM,H$3,0),INDEX(HoleParF,H$3,0)),Stableford_Points,2))</f>
        <v>2</v>
      </c>
      <c r="I35" s="11" cm="1">
        <f t="array" ref="I35">IF(ISBLANK(I32),"",VLOOKUP(I34-IF(INDEX(PlayerGender,SUMPRODUCT((PlayerPlayerNo=VALUE(RIGHT($A30,1)))*ROW(PlayerGender))-1)="M",INDEX(HoleParM,I$3,0),INDEX(HoleParF,I$3,0)),Stableford_Points,2))</f>
        <v>8</v>
      </c>
      <c r="J35" s="11" cm="1">
        <f t="array" ref="J35">IF(ISBLANK(J32),"",VLOOKUP(J34-IF(INDEX(PlayerGender,SUMPRODUCT((PlayerPlayerNo=VALUE(RIGHT($A30,1)))*ROW(PlayerGender))-1)="M",INDEX(HoleParM,J$3,0),INDEX(HoleParF,J$3,0)),Stableford_Points,2))</f>
        <v>4</v>
      </c>
      <c r="K35" s="11" cm="1">
        <f t="array" ref="K35">IF(ISBLANK(K32),"",VLOOKUP(K34-IF(INDEX(PlayerGender,SUMPRODUCT((PlayerPlayerNo=VALUE(RIGHT($A30,1)))*ROW(PlayerGender))-1)="M",INDEX(HoleParM,K$3,0),INDEX(HoleParF,K$3,0)),Stableford_Points,2))</f>
        <v>2</v>
      </c>
      <c r="L35" s="11" cm="1">
        <f t="array" ref="L35">IF(ISBLANK(L32),"",VLOOKUP(L34-IF(INDEX(PlayerGender,SUMPRODUCT((PlayerPlayerNo=VALUE(RIGHT($A30,1)))*ROW(PlayerGender))-1)="M",INDEX(HoleParM,L$3,0),INDEX(HoleParF,L$3,0)),Stableford_Points,2))</f>
        <v>4</v>
      </c>
      <c r="M35" s="11" cm="1">
        <f t="array" ref="M35">IF(ISBLANK(M32),"",VLOOKUP(M34-IF(INDEX(PlayerGender,SUMPRODUCT((PlayerPlayerNo=VALUE(RIGHT($A30,1)))*ROW(PlayerGender))-1)="M",INDEX(HoleParM,M$3,0),INDEX(HoleParF,M$3,0)),Stableford_Points,2))</f>
        <v>2</v>
      </c>
      <c r="N35" s="11" cm="1">
        <f t="array" ref="N35">IF(ISBLANK(N32),"",VLOOKUP(N34-IF(INDEX(PlayerGender,SUMPRODUCT((PlayerPlayerNo=VALUE(RIGHT($A30,1)))*ROW(PlayerGender))-1)="M",INDEX(HoleParM,N$3,0),INDEX(HoleParF,N$3,0)),Stableford_Points,2))</f>
        <v>4</v>
      </c>
      <c r="O35" s="11" cm="1">
        <f t="array" ref="O35">IF(ISBLANK(O32),"",VLOOKUP(O34-IF(INDEX(PlayerGender,SUMPRODUCT((PlayerPlayerNo=VALUE(RIGHT($A30,1)))*ROW(PlayerGender))-1)="M",INDEX(HoleParM,O$3,0),INDEX(HoleParF,O$3,0)),Stableford_Points,2))</f>
        <v>2</v>
      </c>
      <c r="P35" s="11" cm="1">
        <f t="array" ref="P35">IF(ISBLANK(P32),"",VLOOKUP(P34-IF(INDEX(PlayerGender,SUMPRODUCT((PlayerPlayerNo=VALUE(RIGHT($A30,1)))*ROW(PlayerGender))-1)="M",INDEX(HoleParM,P$3,0),INDEX(HoleParF,P$3,0)),Stableford_Points,2))</f>
        <v>0</v>
      </c>
      <c r="Q35" s="11" cm="1">
        <f t="array" ref="Q35">IF(ISBLANK(Q32),"",VLOOKUP(Q34-IF(INDEX(PlayerGender,SUMPRODUCT((PlayerPlayerNo=VALUE(RIGHT($A30,1)))*ROW(PlayerGender))-1)="M",INDEX(HoleParM,Q$3,0),INDEX(HoleParF,Q$3,0)),Stableford_Points,2))</f>
        <v>0</v>
      </c>
      <c r="R35" s="11" cm="1">
        <f t="array" ref="R35">IF(ISBLANK(R32),"",VLOOKUP(R34-IF(INDEX(PlayerGender,SUMPRODUCT((PlayerPlayerNo=VALUE(RIGHT($A30,1)))*ROW(PlayerGender))-1)="M",INDEX(HoleParM,R$3,0),INDEX(HoleParF,R$3,0)),Stableford_Points,2))</f>
        <v>1</v>
      </c>
      <c r="S35" s="11" cm="1">
        <f t="array" ref="S35">IF(ISBLANK(S32),"",VLOOKUP(S34-IF(INDEX(PlayerGender,SUMPRODUCT((PlayerPlayerNo=VALUE(RIGHT($A30,1)))*ROW(PlayerGender))-1)="M",INDEX(HoleParM,S$3,0),INDEX(HoleParF,S$3,0)),Stableford_Points,2))</f>
        <v>2</v>
      </c>
      <c r="T35" s="11">
        <f t="array" ref="T35">IF(AND(ISBLANK(B32:S32)), "", SUM(B35:S35))</f>
        <v>40</v>
      </c>
      <c r="U35" s="11">
        <f>T35</f>
        <v>40</v>
      </c>
      <c r="V35" s="16">
        <f>IF(U35 = "","",_xlfn.RANK.EQ(U35,U:U,0))</f>
        <v>3</v>
      </c>
      <c r="W35" s="7" t="str">
        <f>IF(U35="","",IF(COUNTIF(V:V,V35)&gt;1,CONCATENATE("T",V35),TEXT(V35,"0")))</f>
        <v>3</v>
      </c>
      <c r="X35" s="14">
        <f ca="1">IF(U35="","",IF(ISNA(VLOOKUP(V35,PlacePayouts,1,FALSE)),"",AVERAGE(OFFSET(PlacePayouts,VLOOKUP(V35,PlacePayouts,1,FALSE)-1,1,COUNTIF(V:V,V35)))*Kitty))</f>
        <v>0</v>
      </c>
    </row>
    <row r="36" spans="1:24" ht="15.75" x14ac:dyDescent="0.25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15"/>
      <c r="W36" s="7"/>
    </row>
    <row r="37" spans="1:24" ht="31.5" x14ac:dyDescent="0.25">
      <c r="A37" s="7" t="s">
        <v>51</v>
      </c>
      <c r="B37" s="7" t="s">
        <v>0</v>
      </c>
      <c r="C37" s="8" t="s">
        <v>39</v>
      </c>
      <c r="D37" s="9" t="s">
        <v>18</v>
      </c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15"/>
      <c r="W37" s="7"/>
    </row>
    <row r="38" spans="1:24" ht="15.75" x14ac:dyDescent="0.25">
      <c r="A38" s="7" t="str" cm="1">
        <f t="array" ref="A38">INDEX(PlayerNames,SUMPRODUCT((PlayerPlayerNo=VALUE(RIGHT(A37,1)))*ROW(PlayerNames))-1)</f>
        <v>Curt Balcerzak</v>
      </c>
      <c r="B38" s="7" cm="1">
        <f t="array" ref="B38">INDEX(PlayerHandicaps,SUMPRODUCT((PlayerPlayerNo=VALUE(RIGHT($A37,1)))*ROW(PlayerHandicaps))-1)</f>
        <v>12.6</v>
      </c>
      <c r="C38" s="7" cm="1">
        <f t="array" ref="C38">IF(INDEX(PlayerGender,SUMPRODUCT((PlayerPlayerNo=VALUE(RIGHT($A37,1)))*ROW(PlayerGender))-1)="M",ROUND((B38*('Course &amp; Tourney'!$B$3/113))+('Course &amp; Tourney'!$B$4-'Course &amp; Tourney'!$B$5),0),ROUND((B38*('Course &amp; Tourney'!$B$7/113))+('Course &amp; Tourney'!$B$8-'Course &amp; Tourney'!$B$9),0))</f>
        <v>12</v>
      </c>
      <c r="D38" s="7">
        <f>MIN(ROUND(C38*Handicap_Allowance,0),Max_Handicap)</f>
        <v>12</v>
      </c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 t="s">
        <v>4</v>
      </c>
      <c r="U38" s="7"/>
      <c r="V38" s="15"/>
      <c r="W38" s="7"/>
    </row>
    <row r="39" spans="1:24" ht="15.75" x14ac:dyDescent="0.25">
      <c r="A39" s="7" t="str">
        <f>_xlfn.CONCAT(A38," Gross")</f>
        <v>Curt Balcerzak Gross</v>
      </c>
      <c r="B39" s="11">
        <v>6</v>
      </c>
      <c r="C39" s="11">
        <v>6</v>
      </c>
      <c r="D39" s="11">
        <v>5</v>
      </c>
      <c r="E39" s="11">
        <v>7</v>
      </c>
      <c r="F39" s="11">
        <v>5</v>
      </c>
      <c r="G39" s="11">
        <v>4</v>
      </c>
      <c r="H39" s="11">
        <v>3</v>
      </c>
      <c r="I39" s="11">
        <v>7</v>
      </c>
      <c r="J39" s="11">
        <v>4</v>
      </c>
      <c r="K39" s="11">
        <v>5</v>
      </c>
      <c r="L39" s="11">
        <v>3</v>
      </c>
      <c r="M39" s="11">
        <v>5</v>
      </c>
      <c r="N39" s="11">
        <v>5</v>
      </c>
      <c r="O39" s="11">
        <v>6</v>
      </c>
      <c r="P39" s="11">
        <v>4</v>
      </c>
      <c r="Q39" s="11">
        <v>5</v>
      </c>
      <c r="R39" s="11">
        <v>6</v>
      </c>
      <c r="S39" s="11">
        <v>7</v>
      </c>
      <c r="T39" s="11">
        <f>SUM(B39:S39)</f>
        <v>93</v>
      </c>
      <c r="U39" s="7"/>
      <c r="V39" s="15"/>
      <c r="W39" s="7"/>
    </row>
    <row r="40" spans="1:24" ht="15.75" x14ac:dyDescent="0.25">
      <c r="A40" s="7" t="str">
        <f>_xlfn.CONCAT(A38," Hcp Strokes")</f>
        <v>Curt Balcerzak Hcp Strokes</v>
      </c>
      <c r="B40" s="11" cm="1">
        <f t="array" ref="B40">ROUNDDOWN($D38/18,0)+IF(MOD($D38,18)&gt;=IF(INDEX(PlayerGender,SUMPRODUCT((PlayerPlayerNo=VALUE(RIGHT($A37,1)))*ROW(PlayerGender))-1)="M",INDEX(HoleHandicapM,B$3,0),INDEX(HoleHandicapF,B$3,0)),1,0)</f>
        <v>1</v>
      </c>
      <c r="C40" s="11" cm="1">
        <f t="array" ref="C40">ROUNDDOWN($D38/18,0)+IF(MOD($D38,18)&gt;=IF(INDEX(PlayerGender,SUMPRODUCT((PlayerPlayerNo=VALUE(RIGHT($A37,1)))*ROW(PlayerGender))-1)="M",INDEX(HoleHandicapM,C$3,0),INDEX(HoleHandicapF,C$3,0)),1,0)</f>
        <v>1</v>
      </c>
      <c r="D40" s="11" cm="1">
        <f t="array" ref="D40">ROUNDDOWN($D38/18,0)+IF(MOD($D38,18)&gt;=IF(INDEX(PlayerGender,SUMPRODUCT((PlayerPlayerNo=VALUE(RIGHT($A37,1)))*ROW(PlayerGender))-1)="M",INDEX(HoleHandicapM,D$3,0),INDEX(HoleHandicapF,D$3,0)),1,0)</f>
        <v>0</v>
      </c>
      <c r="E40" s="11" cm="1">
        <f t="array" ref="E40">ROUNDDOWN($D38/18,0)+IF(MOD($D38,18)&gt;=IF(INDEX(PlayerGender,SUMPRODUCT((PlayerPlayerNo=VALUE(RIGHT($A37,1)))*ROW(PlayerGender))-1)="M",INDEX(HoleHandicapM,E$3,0),INDEX(HoleHandicapF,E$3,0)),1,0)</f>
        <v>1</v>
      </c>
      <c r="F40" s="11" cm="1">
        <f t="array" ref="F40">ROUNDDOWN($D38/18,0)+IF(MOD($D38,18)&gt;=IF(INDEX(PlayerGender,SUMPRODUCT((PlayerPlayerNo=VALUE(RIGHT($A37,1)))*ROW(PlayerGender))-1)="M",INDEX(HoleHandicapM,F$3,0),INDEX(HoleHandicapF,F$3,0)),1,0)</f>
        <v>1</v>
      </c>
      <c r="G40" s="11" cm="1">
        <f t="array" ref="G40">ROUNDDOWN($D38/18,0)+IF(MOD($D38,18)&gt;=IF(INDEX(PlayerGender,SUMPRODUCT((PlayerPlayerNo=VALUE(RIGHT($A37,1)))*ROW(PlayerGender))-1)="M",INDEX(HoleHandicapM,G$3,0),INDEX(HoleHandicapF,G$3,0)),1,0)</f>
        <v>0</v>
      </c>
      <c r="H40" s="11" cm="1">
        <f t="array" ref="H40">ROUNDDOWN($D38/18,0)+IF(MOD($D38,18)&gt;=IF(INDEX(PlayerGender,SUMPRODUCT((PlayerPlayerNo=VALUE(RIGHT($A37,1)))*ROW(PlayerGender))-1)="M",INDEX(HoleHandicapM,H$3,0),INDEX(HoleHandicapF,H$3,0)),1,0)</f>
        <v>0</v>
      </c>
      <c r="I40" s="11" cm="1">
        <f t="array" ref="I40">ROUNDDOWN($D38/18,0)+IF(MOD($D38,18)&gt;=IF(INDEX(PlayerGender,SUMPRODUCT((PlayerPlayerNo=VALUE(RIGHT($A37,1)))*ROW(PlayerGender))-1)="M",INDEX(HoleHandicapM,I$3,0),INDEX(HoleHandicapF,I$3,0)),1,0)</f>
        <v>1</v>
      </c>
      <c r="J40" s="11" cm="1">
        <f t="array" ref="J40">ROUNDDOWN($D38/18,0)+IF(MOD($D38,18)&gt;=IF(INDEX(PlayerGender,SUMPRODUCT((PlayerPlayerNo=VALUE(RIGHT($A37,1)))*ROW(PlayerGender))-1)="M",INDEX(HoleHandicapM,J$3,0),INDEX(HoleHandicapF,J$3,0)),1,0)</f>
        <v>1</v>
      </c>
      <c r="K40" s="11" cm="1">
        <f t="array" ref="K40">ROUNDDOWN($D38/18,0)+IF(MOD($D38,18)&gt;=IF(INDEX(PlayerGender,SUMPRODUCT((PlayerPlayerNo=VALUE(RIGHT($A37,1)))*ROW(PlayerGender))-1)="M",INDEX(HoleHandicapM,K$3,0),INDEX(HoleHandicapF,K$3,0)),1,0)</f>
        <v>1</v>
      </c>
      <c r="L40" s="11" cm="1">
        <f t="array" ref="L40">ROUNDDOWN($D38/18,0)+IF(MOD($D38,18)&gt;=IF(INDEX(PlayerGender,SUMPRODUCT((PlayerPlayerNo=VALUE(RIGHT($A37,1)))*ROW(PlayerGender))-1)="M",INDEX(HoleHandicapM,L$3,0),INDEX(HoleHandicapF,L$3,0)),1,0)</f>
        <v>0</v>
      </c>
      <c r="M40" s="11" cm="1">
        <f t="array" ref="M40">ROUNDDOWN($D38/18,0)+IF(MOD($D38,18)&gt;=IF(INDEX(PlayerGender,SUMPRODUCT((PlayerPlayerNo=VALUE(RIGHT($A37,1)))*ROW(PlayerGender))-1)="M",INDEX(HoleHandicapM,M$3,0),INDEX(HoleHandicapF,M$3,0)),1,0)</f>
        <v>1</v>
      </c>
      <c r="N40" s="11" cm="1">
        <f t="array" ref="N40">ROUNDDOWN($D38/18,0)+IF(MOD($D38,18)&gt;=IF(INDEX(PlayerGender,SUMPRODUCT((PlayerPlayerNo=VALUE(RIGHT($A37,1)))*ROW(PlayerGender))-1)="M",INDEX(HoleHandicapM,N$3,0),INDEX(HoleHandicapF,N$3,0)),1,0)</f>
        <v>1</v>
      </c>
      <c r="O40" s="11" cm="1">
        <f t="array" ref="O40">ROUNDDOWN($D38/18,0)+IF(MOD($D38,18)&gt;=IF(INDEX(PlayerGender,SUMPRODUCT((PlayerPlayerNo=VALUE(RIGHT($A37,1)))*ROW(PlayerGender))-1)="M",INDEX(HoleHandicapM,O$3,0),INDEX(HoleHandicapF,O$3,0)),1,0)</f>
        <v>1</v>
      </c>
      <c r="P40" s="11" cm="1">
        <f t="array" ref="P40">ROUNDDOWN($D38/18,0)+IF(MOD($D38,18)&gt;=IF(INDEX(PlayerGender,SUMPRODUCT((PlayerPlayerNo=VALUE(RIGHT($A37,1)))*ROW(PlayerGender))-1)="M",INDEX(HoleHandicapM,P$3,0),INDEX(HoleHandicapF,P$3,0)),1,0)</f>
        <v>1</v>
      </c>
      <c r="Q40" s="11" cm="1">
        <f t="array" ref="Q40">ROUNDDOWN($D38/18,0)+IF(MOD($D38,18)&gt;=IF(INDEX(PlayerGender,SUMPRODUCT((PlayerPlayerNo=VALUE(RIGHT($A37,1)))*ROW(PlayerGender))-1)="M",INDEX(HoleHandicapM,Q$3,0),INDEX(HoleHandicapF,Q$3,0)),1,0)</f>
        <v>0</v>
      </c>
      <c r="R40" s="11" cm="1">
        <f t="array" ref="R40">ROUNDDOWN($D38/18,0)+IF(MOD($D38,18)&gt;=IF(INDEX(PlayerGender,SUMPRODUCT((PlayerPlayerNo=VALUE(RIGHT($A37,1)))*ROW(PlayerGender))-1)="M",INDEX(HoleHandicapM,R$3,0),INDEX(HoleHandicapF,R$3,0)),1,0)</f>
        <v>0</v>
      </c>
      <c r="S40" s="11" cm="1">
        <f t="array" ref="S40">ROUNDDOWN($D38/18,0)+IF(MOD($D38,18)&gt;=IF(INDEX(PlayerGender,SUMPRODUCT((PlayerPlayerNo=VALUE(RIGHT($A37,1)))*ROW(PlayerGender))-1)="M",INDEX(HoleHandicapM,S$3,0),INDEX(HoleHandicapF,S$3,0)),1,0)</f>
        <v>1</v>
      </c>
      <c r="T40" s="11">
        <f>SUM(B40:S40)</f>
        <v>12</v>
      </c>
      <c r="U40" s="7"/>
      <c r="V40" s="15"/>
      <c r="W40" s="7"/>
    </row>
    <row r="41" spans="1:24" ht="15.75" x14ac:dyDescent="0.25">
      <c r="A41" s="7" t="str">
        <f>_xlfn.CONCAT(A38," Net")</f>
        <v>Curt Balcerzak Net</v>
      </c>
      <c r="B41" s="11">
        <f>IF(B39-B40&gt;0,B39-B40,"")</f>
        <v>5</v>
      </c>
      <c r="C41" s="11">
        <f t="shared" ref="C41" si="52">IF(C39-C40&gt;0,C39-C40,"")</f>
        <v>5</v>
      </c>
      <c r="D41" s="11">
        <f t="shared" ref="D41" si="53">IF(D39-D40&gt;0,D39-D40,"")</f>
        <v>5</v>
      </c>
      <c r="E41" s="11">
        <f t="shared" ref="E41" si="54">IF(E39-E40&gt;0,E39-E40,"")</f>
        <v>6</v>
      </c>
      <c r="F41" s="11">
        <f t="shared" ref="F41" si="55">IF(F39-F40&gt;0,F39-F40,"")</f>
        <v>4</v>
      </c>
      <c r="G41" s="11">
        <f t="shared" ref="G41" si="56">IF(G39-G40&gt;0,G39-G40,"")</f>
        <v>4</v>
      </c>
      <c r="H41" s="11">
        <f t="shared" ref="H41" si="57">IF(H39-H40&gt;0,H39-H40,"")</f>
        <v>3</v>
      </c>
      <c r="I41" s="11">
        <f t="shared" ref="I41" si="58">IF(I39-I40&gt;0,I39-I40,"")</f>
        <v>6</v>
      </c>
      <c r="J41" s="11">
        <f t="shared" ref="J41" si="59">IF(J39-J40&gt;0,J39-J40,"")</f>
        <v>3</v>
      </c>
      <c r="K41" s="11">
        <f t="shared" ref="K41" si="60">IF(K39-K40&gt;0,K39-K40,"")</f>
        <v>4</v>
      </c>
      <c r="L41" s="11">
        <f t="shared" ref="L41" si="61">IF(L39-L40&gt;0,L39-L40,"")</f>
        <v>3</v>
      </c>
      <c r="M41" s="11">
        <f t="shared" ref="M41" si="62">IF(M39-M40&gt;0,M39-M40,"")</f>
        <v>4</v>
      </c>
      <c r="N41" s="11">
        <f t="shared" ref="N41" si="63">IF(N39-N40&gt;0,N39-N40,"")</f>
        <v>4</v>
      </c>
      <c r="O41" s="11">
        <f t="shared" ref="O41" si="64">IF(O39-O40&gt;0,O39-O40,"")</f>
        <v>5</v>
      </c>
      <c r="P41" s="11">
        <f t="shared" ref="P41" si="65">IF(P39-P40&gt;0,P39-P40,"")</f>
        <v>3</v>
      </c>
      <c r="Q41" s="11">
        <f t="shared" ref="Q41" si="66">IF(Q39-Q40&gt;0,Q39-Q40,"")</f>
        <v>5</v>
      </c>
      <c r="R41" s="11">
        <f t="shared" ref="R41" si="67">IF(R39-R40&gt;0,R39-R40,"")</f>
        <v>6</v>
      </c>
      <c r="S41" s="11">
        <f t="shared" ref="S41" si="68">IF(S39-S40&gt;0,S39-S40,"")</f>
        <v>6</v>
      </c>
      <c r="T41" s="11">
        <f>IF(SUM(B41:S41)&gt;0,SUM(B41:S41),"")</f>
        <v>81</v>
      </c>
      <c r="U41" s="7"/>
      <c r="V41" s="15"/>
      <c r="W41" s="7"/>
    </row>
    <row r="42" spans="1:24" ht="15.75" x14ac:dyDescent="0.25">
      <c r="A42" s="7" t="str">
        <f>_xlfn.CONCAT(A38," Stableford Points")</f>
        <v>Curt Balcerzak Stableford Points</v>
      </c>
      <c r="B42" s="11" cm="1">
        <f t="array" ref="B42">IF(ISBLANK(B39),"",VLOOKUP(B41-IF(INDEX(PlayerGender,SUMPRODUCT((PlayerPlayerNo=VALUE(RIGHT($A37,1)))*ROW(PlayerGender))-1)="M",INDEX(HoleParM,B$3,0),INDEX(HoleParF,B$3,0)),Stableford_Points,2))</f>
        <v>1</v>
      </c>
      <c r="C42" s="11" cm="1">
        <f t="array" ref="C42">IF(ISBLANK(C39),"",VLOOKUP(C41-IF(INDEX(PlayerGender,SUMPRODUCT((PlayerPlayerNo=VALUE(RIGHT($A37,1)))*ROW(PlayerGender))-1)="M",INDEX(HoleParM,C$3,0),INDEX(HoleParF,C$3,0)),Stableford_Points,2))</f>
        <v>1</v>
      </c>
      <c r="D42" s="11" cm="1">
        <f t="array" ref="D42">IF(ISBLANK(D39),"",VLOOKUP(D41-IF(INDEX(PlayerGender,SUMPRODUCT((PlayerPlayerNo=VALUE(RIGHT($A37,1)))*ROW(PlayerGender))-1)="M",INDEX(HoleParM,D$3,0),INDEX(HoleParF,D$3,0)),Stableford_Points,2))</f>
        <v>0</v>
      </c>
      <c r="E42" s="11" cm="1">
        <f t="array" ref="E42">IF(ISBLANK(E39),"",VLOOKUP(E41-IF(INDEX(PlayerGender,SUMPRODUCT((PlayerPlayerNo=VALUE(RIGHT($A37,1)))*ROW(PlayerGender))-1)="M",INDEX(HoleParM,E$3,0),INDEX(HoleParF,E$3,0)),Stableford_Points,2))</f>
        <v>1</v>
      </c>
      <c r="F42" s="11" cm="1">
        <f t="array" ref="F42">IF(ISBLANK(F39),"",VLOOKUP(F41-IF(INDEX(PlayerGender,SUMPRODUCT((PlayerPlayerNo=VALUE(RIGHT($A37,1)))*ROW(PlayerGender))-1)="M",INDEX(HoleParM,F$3,0),INDEX(HoleParF,F$3,0)),Stableford_Points,2))</f>
        <v>2</v>
      </c>
      <c r="G42" s="11" cm="1">
        <f t="array" ref="G42">IF(ISBLANK(G39),"",VLOOKUP(G41-IF(INDEX(PlayerGender,SUMPRODUCT((PlayerPlayerNo=VALUE(RIGHT($A37,1)))*ROW(PlayerGender))-1)="M",INDEX(HoleParM,G$3,0),INDEX(HoleParF,G$3,0)),Stableford_Points,2))</f>
        <v>2</v>
      </c>
      <c r="H42" s="11" cm="1">
        <f t="array" ref="H42">IF(ISBLANK(H39),"",VLOOKUP(H41-IF(INDEX(PlayerGender,SUMPRODUCT((PlayerPlayerNo=VALUE(RIGHT($A37,1)))*ROW(PlayerGender))-1)="M",INDEX(HoleParM,H$3,0),INDEX(HoleParF,H$3,0)),Stableford_Points,2))</f>
        <v>2</v>
      </c>
      <c r="I42" s="11" cm="1">
        <f t="array" ref="I42">IF(ISBLANK(I39),"",VLOOKUP(I41-IF(INDEX(PlayerGender,SUMPRODUCT((PlayerPlayerNo=VALUE(RIGHT($A37,1)))*ROW(PlayerGender))-1)="M",INDEX(HoleParM,I$3,0),INDEX(HoleParF,I$3,0)),Stableford_Points,2))</f>
        <v>1</v>
      </c>
      <c r="J42" s="11" cm="1">
        <f t="array" ref="J42">IF(ISBLANK(J39),"",VLOOKUP(J41-IF(INDEX(PlayerGender,SUMPRODUCT((PlayerPlayerNo=VALUE(RIGHT($A37,1)))*ROW(PlayerGender))-1)="M",INDEX(HoleParM,J$3,0),INDEX(HoleParF,J$3,0)),Stableford_Points,2))</f>
        <v>4</v>
      </c>
      <c r="K42" s="11" cm="1">
        <f t="array" ref="K42">IF(ISBLANK(K39),"",VLOOKUP(K41-IF(INDEX(PlayerGender,SUMPRODUCT((PlayerPlayerNo=VALUE(RIGHT($A37,1)))*ROW(PlayerGender))-1)="M",INDEX(HoleParM,K$3,0),INDEX(HoleParF,K$3,0)),Stableford_Points,2))</f>
        <v>2</v>
      </c>
      <c r="L42" s="11" cm="1">
        <f t="array" ref="L42">IF(ISBLANK(L39),"",VLOOKUP(L41-IF(INDEX(PlayerGender,SUMPRODUCT((PlayerPlayerNo=VALUE(RIGHT($A37,1)))*ROW(PlayerGender))-1)="M",INDEX(HoleParM,L$3,0),INDEX(HoleParF,L$3,0)),Stableford_Points,2))</f>
        <v>2</v>
      </c>
      <c r="M42" s="11" cm="1">
        <f t="array" ref="M42">IF(ISBLANK(M39),"",VLOOKUP(M41-IF(INDEX(PlayerGender,SUMPRODUCT((PlayerPlayerNo=VALUE(RIGHT($A37,1)))*ROW(PlayerGender))-1)="M",INDEX(HoleParM,M$3,0),INDEX(HoleParF,M$3,0)),Stableford_Points,2))</f>
        <v>2</v>
      </c>
      <c r="N42" s="11" cm="1">
        <f t="array" ref="N42">IF(ISBLANK(N39),"",VLOOKUP(N41-IF(INDEX(PlayerGender,SUMPRODUCT((PlayerPlayerNo=VALUE(RIGHT($A37,1)))*ROW(PlayerGender))-1)="M",INDEX(HoleParM,N$3,0),INDEX(HoleParF,N$3,0)),Stableford_Points,2))</f>
        <v>2</v>
      </c>
      <c r="O42" s="11" cm="1">
        <f t="array" ref="O42">IF(ISBLANK(O39),"",VLOOKUP(O41-IF(INDEX(PlayerGender,SUMPRODUCT((PlayerPlayerNo=VALUE(RIGHT($A37,1)))*ROW(PlayerGender))-1)="M",INDEX(HoleParM,O$3,0),INDEX(HoleParF,O$3,0)),Stableford_Points,2))</f>
        <v>2</v>
      </c>
      <c r="P42" s="11" cm="1">
        <f t="array" ref="P42">IF(ISBLANK(P39),"",VLOOKUP(P41-IF(INDEX(PlayerGender,SUMPRODUCT((PlayerPlayerNo=VALUE(RIGHT($A37,1)))*ROW(PlayerGender))-1)="M",INDEX(HoleParM,P$3,0),INDEX(HoleParF,P$3,0)),Stableford_Points,2))</f>
        <v>4</v>
      </c>
      <c r="Q42" s="11" cm="1">
        <f t="array" ref="Q42">IF(ISBLANK(Q39),"",VLOOKUP(Q41-IF(INDEX(PlayerGender,SUMPRODUCT((PlayerPlayerNo=VALUE(RIGHT($A37,1)))*ROW(PlayerGender))-1)="M",INDEX(HoleParM,Q$3,0),INDEX(HoleParF,Q$3,0)),Stableford_Points,2))</f>
        <v>1</v>
      </c>
      <c r="R42" s="11" cm="1">
        <f t="array" ref="R42">IF(ISBLANK(R39),"",VLOOKUP(R41-IF(INDEX(PlayerGender,SUMPRODUCT((PlayerPlayerNo=VALUE(RIGHT($A37,1)))*ROW(PlayerGender))-1)="M",INDEX(HoleParM,R$3,0),INDEX(HoleParF,R$3,0)),Stableford_Points,2))</f>
        <v>-1</v>
      </c>
      <c r="S42" s="11" cm="1">
        <f t="array" ref="S42">IF(ISBLANK(S39),"",VLOOKUP(S41-IF(INDEX(PlayerGender,SUMPRODUCT((PlayerPlayerNo=VALUE(RIGHT($A37,1)))*ROW(PlayerGender))-1)="M",INDEX(HoleParM,S$3,0),INDEX(HoleParF,S$3,0)),Stableford_Points,2))</f>
        <v>1</v>
      </c>
      <c r="T42" s="11">
        <f t="array" ref="T42">IF(AND(ISBLANK(B39:S39)), "", SUM(B42:S42))</f>
        <v>29</v>
      </c>
      <c r="U42" s="11">
        <f>T42</f>
        <v>29</v>
      </c>
      <c r="V42" s="16">
        <f>IF(U42 = "","",_xlfn.RANK.EQ(U42,U:U,0))</f>
        <v>5</v>
      </c>
      <c r="W42" s="7" t="str">
        <f>IF(U42="","",IF(COUNTIF(V:V,V42)&gt;1,CONCATENATE("T",V42),TEXT(V42,"0")))</f>
        <v>5</v>
      </c>
      <c r="X42" s="14">
        <f ca="1">IF(U42="","",IF(ISNA(VLOOKUP(V42,PlacePayouts,1,FALSE)),"",AVERAGE(OFFSET(PlacePayouts,VLOOKUP(V42,PlacePayouts,1,FALSE)-1,1,COUNTIF(V:V,V42)))*Kitty))</f>
        <v>0</v>
      </c>
    </row>
    <row r="43" spans="1:24" ht="15.75" x14ac:dyDescent="0.25">
      <c r="A43" s="7"/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6"/>
      <c r="W43" s="7"/>
      <c r="X43" s="14"/>
    </row>
    <row r="44" spans="1:24" ht="31.5" x14ac:dyDescent="0.25">
      <c r="A44" s="7" t="s">
        <v>57</v>
      </c>
      <c r="B44" s="7" t="s">
        <v>0</v>
      </c>
      <c r="C44" s="8" t="s">
        <v>39</v>
      </c>
      <c r="D44" s="9" t="s">
        <v>18</v>
      </c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15"/>
      <c r="W44" s="7"/>
    </row>
    <row r="45" spans="1:24" ht="15.75" customHeight="1" x14ac:dyDescent="0.25">
      <c r="A45" s="7" t="str" cm="1">
        <f t="array" ref="A45">INDEX(PlayerNames,SUMPRODUCT((PlayerPlayerNo=VALUE(RIGHT(A44,1)))*ROW(PlayerNames))-1)</f>
        <v>John Allen</v>
      </c>
      <c r="B45" s="7" cm="1">
        <f t="array" ref="B45">INDEX(PlayerHandicaps,SUMPRODUCT((PlayerPlayerNo=VALUE(RIGHT($A44,1)))*ROW(PlayerHandicaps))-1)</f>
        <v>28.7</v>
      </c>
      <c r="C45" s="7" cm="1">
        <f t="array" ref="C45">IF(INDEX(PlayerGender,SUMPRODUCT((PlayerPlayerNo=VALUE(RIGHT($A44,1)))*ROW(PlayerGender))-1)="M",ROUND((B45*('Course &amp; Tourney'!$B$3/113))+('Course &amp; Tourney'!$B$4-'Course &amp; Tourney'!$B$5),0),ROUND((B45*('Course &amp; Tourney'!$B$7/113))+('Course &amp; Tourney'!$B$8-'Course &amp; Tourney'!$B$9),0))</f>
        <v>30</v>
      </c>
      <c r="D45" s="7">
        <f>MIN(ROUND(C45*Handicap_Allowance,0),Max_Handicap)</f>
        <v>30</v>
      </c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 t="s">
        <v>4</v>
      </c>
      <c r="U45" s="7"/>
      <c r="V45" s="15"/>
      <c r="W45" s="7"/>
    </row>
    <row r="46" spans="1:24" ht="15.75" customHeight="1" x14ac:dyDescent="0.25">
      <c r="A46" s="7" t="str">
        <f>_xlfn.CONCAT(A45," Gross")</f>
        <v>John Allen Gross</v>
      </c>
      <c r="B46" s="11">
        <v>7</v>
      </c>
      <c r="C46" s="11">
        <v>5</v>
      </c>
      <c r="D46" s="11">
        <v>5</v>
      </c>
      <c r="E46" s="11">
        <v>4</v>
      </c>
      <c r="F46" s="11">
        <v>5</v>
      </c>
      <c r="G46" s="11">
        <v>4</v>
      </c>
      <c r="H46" s="11">
        <v>4</v>
      </c>
      <c r="I46" s="11">
        <v>5</v>
      </c>
      <c r="J46" s="11">
        <v>6</v>
      </c>
      <c r="K46" s="11">
        <v>5</v>
      </c>
      <c r="L46" s="11">
        <v>3</v>
      </c>
      <c r="M46" s="11">
        <v>6</v>
      </c>
      <c r="N46" s="11">
        <v>4</v>
      </c>
      <c r="O46" s="11">
        <v>10</v>
      </c>
      <c r="P46" s="11">
        <v>8</v>
      </c>
      <c r="Q46" s="11">
        <v>6</v>
      </c>
      <c r="R46" s="11">
        <v>4</v>
      </c>
      <c r="S46" s="11">
        <v>6</v>
      </c>
      <c r="T46" s="11">
        <f>SUM(B46:S46)</f>
        <v>97</v>
      </c>
      <c r="U46" s="7"/>
      <c r="V46" s="15"/>
      <c r="W46" s="7"/>
    </row>
    <row r="47" spans="1:24" ht="15.75" x14ac:dyDescent="0.25">
      <c r="A47" s="7" t="str">
        <f>_xlfn.CONCAT(A45," Hcp Strokes")</f>
        <v>John Allen Hcp Strokes</v>
      </c>
      <c r="B47" s="11" cm="1">
        <f t="array" ref="B47">ROUNDDOWN($D45/18,0)+IF(MOD($D45,18)&gt;=IF(INDEX(PlayerGender,SUMPRODUCT((PlayerPlayerNo=VALUE(RIGHT($A44,1)))*ROW(PlayerGender))-1)="M",INDEX(HoleHandicapM,B$3,0),INDEX(HoleHandicapF,B$3,0)),1,0)</f>
        <v>2</v>
      </c>
      <c r="C47" s="11" cm="1">
        <f t="array" ref="C47">ROUNDDOWN($D45/18,0)+IF(MOD($D45,18)&gt;=IF(INDEX(PlayerGender,SUMPRODUCT((PlayerPlayerNo=VALUE(RIGHT($A44,1)))*ROW(PlayerGender))-1)="M",INDEX(HoleHandicapM,C$3,0),INDEX(HoleHandicapF,C$3,0)),1,0)</f>
        <v>2</v>
      </c>
      <c r="D47" s="11" cm="1">
        <f t="array" ref="D47">ROUNDDOWN($D45/18,0)+IF(MOD($D45,18)&gt;=IF(INDEX(PlayerGender,SUMPRODUCT((PlayerPlayerNo=VALUE(RIGHT($A44,1)))*ROW(PlayerGender))-1)="M",INDEX(HoleHandicapM,D$3,0),INDEX(HoleHandicapF,D$3,0)),1,0)</f>
        <v>1</v>
      </c>
      <c r="E47" s="11" cm="1">
        <f t="array" ref="E47">ROUNDDOWN($D45/18,0)+IF(MOD($D45,18)&gt;=IF(INDEX(PlayerGender,SUMPRODUCT((PlayerPlayerNo=VALUE(RIGHT($A44,1)))*ROW(PlayerGender))-1)="M",INDEX(HoleHandicapM,E$3,0),INDEX(HoleHandicapF,E$3,0)),1,0)</f>
        <v>2</v>
      </c>
      <c r="F47" s="11" cm="1">
        <f t="array" ref="F47">ROUNDDOWN($D45/18,0)+IF(MOD($D45,18)&gt;=IF(INDEX(PlayerGender,SUMPRODUCT((PlayerPlayerNo=VALUE(RIGHT($A44,1)))*ROW(PlayerGender))-1)="M",INDEX(HoleHandicapM,F$3,0),INDEX(HoleHandicapF,F$3,0)),1,0)</f>
        <v>2</v>
      </c>
      <c r="G47" s="11" cm="1">
        <f t="array" ref="G47">ROUNDDOWN($D45/18,0)+IF(MOD($D45,18)&gt;=IF(INDEX(PlayerGender,SUMPRODUCT((PlayerPlayerNo=VALUE(RIGHT($A44,1)))*ROW(PlayerGender))-1)="M",INDEX(HoleHandicapM,G$3,0),INDEX(HoleHandicapF,G$3,0)),1,0)</f>
        <v>1</v>
      </c>
      <c r="H47" s="11" cm="1">
        <f t="array" ref="H47">ROUNDDOWN($D45/18,0)+IF(MOD($D45,18)&gt;=IF(INDEX(PlayerGender,SUMPRODUCT((PlayerPlayerNo=VALUE(RIGHT($A44,1)))*ROW(PlayerGender))-1)="M",INDEX(HoleHandicapM,H$3,0),INDEX(HoleHandicapF,H$3,0)),1,0)</f>
        <v>1</v>
      </c>
      <c r="I47" s="11" cm="1">
        <f t="array" ref="I47">ROUNDDOWN($D45/18,0)+IF(MOD($D45,18)&gt;=IF(INDEX(PlayerGender,SUMPRODUCT((PlayerPlayerNo=VALUE(RIGHT($A44,1)))*ROW(PlayerGender))-1)="M",INDEX(HoleHandicapM,I$3,0),INDEX(HoleHandicapF,I$3,0)),1,0)</f>
        <v>2</v>
      </c>
      <c r="J47" s="11" cm="1">
        <f t="array" ref="J47">ROUNDDOWN($D45/18,0)+IF(MOD($D45,18)&gt;=IF(INDEX(PlayerGender,SUMPRODUCT((PlayerPlayerNo=VALUE(RIGHT($A44,1)))*ROW(PlayerGender))-1)="M",INDEX(HoleHandicapM,J$3,0),INDEX(HoleHandicapF,J$3,0)),1,0)</f>
        <v>2</v>
      </c>
      <c r="K47" s="11" cm="1">
        <f t="array" ref="K47">ROUNDDOWN($D45/18,0)+IF(MOD($D45,18)&gt;=IF(INDEX(PlayerGender,SUMPRODUCT((PlayerPlayerNo=VALUE(RIGHT($A44,1)))*ROW(PlayerGender))-1)="M",INDEX(HoleHandicapM,K$3,0),INDEX(HoleHandicapF,K$3,0)),1,0)</f>
        <v>2</v>
      </c>
      <c r="L47" s="11" cm="1">
        <f t="array" ref="L47">ROUNDDOWN($D45/18,0)+IF(MOD($D45,18)&gt;=IF(INDEX(PlayerGender,SUMPRODUCT((PlayerPlayerNo=VALUE(RIGHT($A44,1)))*ROW(PlayerGender))-1)="M",INDEX(HoleHandicapM,L$3,0),INDEX(HoleHandicapF,L$3,0)),1,0)</f>
        <v>1</v>
      </c>
      <c r="M47" s="11" cm="1">
        <f t="array" ref="M47">ROUNDDOWN($D45/18,0)+IF(MOD($D45,18)&gt;=IF(INDEX(PlayerGender,SUMPRODUCT((PlayerPlayerNo=VALUE(RIGHT($A44,1)))*ROW(PlayerGender))-1)="M",INDEX(HoleHandicapM,M$3,0),INDEX(HoleHandicapF,M$3,0)),1,0)</f>
        <v>2</v>
      </c>
      <c r="N47" s="11" cm="1">
        <f t="array" ref="N47">ROUNDDOWN($D45/18,0)+IF(MOD($D45,18)&gt;=IF(INDEX(PlayerGender,SUMPRODUCT((PlayerPlayerNo=VALUE(RIGHT($A44,1)))*ROW(PlayerGender))-1)="M",INDEX(HoleHandicapM,N$3,0),INDEX(HoleHandicapF,N$3,0)),1,0)</f>
        <v>2</v>
      </c>
      <c r="O47" s="11" cm="1">
        <f t="array" ref="O47">ROUNDDOWN($D45/18,0)+IF(MOD($D45,18)&gt;=IF(INDEX(PlayerGender,SUMPRODUCT((PlayerPlayerNo=VALUE(RIGHT($A44,1)))*ROW(PlayerGender))-1)="M",INDEX(HoleHandicapM,O$3,0),INDEX(HoleHandicapF,O$3,0)),1,0)</f>
        <v>2</v>
      </c>
      <c r="P47" s="11" cm="1">
        <f t="array" ref="P47">ROUNDDOWN($D45/18,0)+IF(MOD($D45,18)&gt;=IF(INDEX(PlayerGender,SUMPRODUCT((PlayerPlayerNo=VALUE(RIGHT($A44,1)))*ROW(PlayerGender))-1)="M",INDEX(HoleHandicapM,P$3,0),INDEX(HoleHandicapF,P$3,0)),1,0)</f>
        <v>2</v>
      </c>
      <c r="Q47" s="11" cm="1">
        <f t="array" ref="Q47">ROUNDDOWN($D45/18,0)+IF(MOD($D45,18)&gt;=IF(INDEX(PlayerGender,SUMPRODUCT((PlayerPlayerNo=VALUE(RIGHT($A44,1)))*ROW(PlayerGender))-1)="M",INDEX(HoleHandicapM,Q$3,0),INDEX(HoleHandicapF,Q$3,0)),1,0)</f>
        <v>1</v>
      </c>
      <c r="R47" s="11" cm="1">
        <f t="array" ref="R47">ROUNDDOWN($D45/18,0)+IF(MOD($D45,18)&gt;=IF(INDEX(PlayerGender,SUMPRODUCT((PlayerPlayerNo=VALUE(RIGHT($A44,1)))*ROW(PlayerGender))-1)="M",INDEX(HoleHandicapM,R$3,0),INDEX(HoleHandicapF,R$3,0)),1,0)</f>
        <v>1</v>
      </c>
      <c r="S47" s="11" cm="1">
        <f t="array" ref="S47">ROUNDDOWN($D45/18,0)+IF(MOD($D45,18)&gt;=IF(INDEX(PlayerGender,SUMPRODUCT((PlayerPlayerNo=VALUE(RIGHT($A44,1)))*ROW(PlayerGender))-1)="M",INDEX(HoleHandicapM,S$3,0),INDEX(HoleHandicapF,S$3,0)),1,0)</f>
        <v>2</v>
      </c>
      <c r="T47" s="11">
        <f>SUM(B47:S47)</f>
        <v>30</v>
      </c>
      <c r="U47" s="7"/>
      <c r="V47" s="15"/>
      <c r="W47" s="7"/>
    </row>
    <row r="48" spans="1:24" ht="15.75" x14ac:dyDescent="0.25">
      <c r="A48" s="7" t="str">
        <f>_xlfn.CONCAT(A45," Net")</f>
        <v>John Allen Net</v>
      </c>
      <c r="B48" s="11">
        <f>IF(B46-B47&gt;0,B46-B47,"")</f>
        <v>5</v>
      </c>
      <c r="C48" s="11">
        <f t="shared" ref="C48:S48" si="69">IF(C46-C47&gt;0,C46-C47,"")</f>
        <v>3</v>
      </c>
      <c r="D48" s="11">
        <f t="shared" si="69"/>
        <v>4</v>
      </c>
      <c r="E48" s="11">
        <f t="shared" si="69"/>
        <v>2</v>
      </c>
      <c r="F48" s="11">
        <f t="shared" si="69"/>
        <v>3</v>
      </c>
      <c r="G48" s="11">
        <f t="shared" si="69"/>
        <v>3</v>
      </c>
      <c r="H48" s="11">
        <f t="shared" si="69"/>
        <v>3</v>
      </c>
      <c r="I48" s="11">
        <f t="shared" si="69"/>
        <v>3</v>
      </c>
      <c r="J48" s="11">
        <f t="shared" si="69"/>
        <v>4</v>
      </c>
      <c r="K48" s="11">
        <f t="shared" si="69"/>
        <v>3</v>
      </c>
      <c r="L48" s="11">
        <f t="shared" si="69"/>
        <v>2</v>
      </c>
      <c r="M48" s="11">
        <f t="shared" si="69"/>
        <v>4</v>
      </c>
      <c r="N48" s="11">
        <f t="shared" si="69"/>
        <v>2</v>
      </c>
      <c r="O48" s="11">
        <f t="shared" si="69"/>
        <v>8</v>
      </c>
      <c r="P48" s="11">
        <f t="shared" si="69"/>
        <v>6</v>
      </c>
      <c r="Q48" s="11">
        <f t="shared" si="69"/>
        <v>5</v>
      </c>
      <c r="R48" s="11">
        <f t="shared" si="69"/>
        <v>3</v>
      </c>
      <c r="S48" s="11">
        <f t="shared" si="69"/>
        <v>4</v>
      </c>
      <c r="T48" s="11">
        <f>IF(SUM(B48:S48)&gt;0,SUM(B48:S48),"")</f>
        <v>67</v>
      </c>
      <c r="U48" s="7"/>
      <c r="V48" s="15"/>
      <c r="W48" s="7"/>
    </row>
    <row r="49" spans="1:24" ht="15.75" x14ac:dyDescent="0.25">
      <c r="A49" s="7" t="str">
        <f>_xlfn.CONCAT(A45," Stableford Points")</f>
        <v>John Allen Stableford Points</v>
      </c>
      <c r="B49" s="11" cm="1">
        <f t="array" ref="B49">IF(ISBLANK(B46),"",VLOOKUP(B48-IF(INDEX(PlayerGender,SUMPRODUCT((PlayerPlayerNo=VALUE(RIGHT($A44,1)))*ROW(PlayerGender))-1)="M",INDEX(HoleParM,B$3,0),INDEX(HoleParF,B$3,0)),Stableford_Points,2))</f>
        <v>1</v>
      </c>
      <c r="C49" s="11" cm="1">
        <f t="array" ref="C49">IF(ISBLANK(C46),"",VLOOKUP(C48-IF(INDEX(PlayerGender,SUMPRODUCT((PlayerPlayerNo=VALUE(RIGHT($A44,1)))*ROW(PlayerGender))-1)="M",INDEX(HoleParM,C$3,0),INDEX(HoleParF,C$3,0)),Stableford_Points,2))</f>
        <v>4</v>
      </c>
      <c r="D49" s="11" cm="1">
        <f t="array" ref="D49">IF(ISBLANK(D46),"",VLOOKUP(D48-IF(INDEX(PlayerGender,SUMPRODUCT((PlayerPlayerNo=VALUE(RIGHT($A44,1)))*ROW(PlayerGender))-1)="M",INDEX(HoleParM,D$3,0),INDEX(HoleParF,D$3,0)),Stableford_Points,2))</f>
        <v>1</v>
      </c>
      <c r="E49" s="11" cm="1">
        <f t="array" ref="E49">IF(ISBLANK(E46),"",VLOOKUP(E48-IF(INDEX(PlayerGender,SUMPRODUCT((PlayerPlayerNo=VALUE(RIGHT($A44,1)))*ROW(PlayerGender))-1)="M",INDEX(HoleParM,E$3,0),INDEX(HoleParF,E$3,0)),Stableford_Points,2))</f>
        <v>8</v>
      </c>
      <c r="F49" s="11" cm="1">
        <f t="array" ref="F49">IF(ISBLANK(F46),"",VLOOKUP(F48-IF(INDEX(PlayerGender,SUMPRODUCT((PlayerPlayerNo=VALUE(RIGHT($A44,1)))*ROW(PlayerGender))-1)="M",INDEX(HoleParM,F$3,0),INDEX(HoleParF,F$3,0)),Stableford_Points,2))</f>
        <v>4</v>
      </c>
      <c r="G49" s="11" cm="1">
        <f t="array" ref="G49">IF(ISBLANK(G46),"",VLOOKUP(G48-IF(INDEX(PlayerGender,SUMPRODUCT((PlayerPlayerNo=VALUE(RIGHT($A44,1)))*ROW(PlayerGender))-1)="M",INDEX(HoleParM,G$3,0),INDEX(HoleParF,G$3,0)),Stableford_Points,2))</f>
        <v>4</v>
      </c>
      <c r="H49" s="11" cm="1">
        <f t="array" ref="H49">IF(ISBLANK(H46),"",VLOOKUP(H48-IF(INDEX(PlayerGender,SUMPRODUCT((PlayerPlayerNo=VALUE(RIGHT($A44,1)))*ROW(PlayerGender))-1)="M",INDEX(HoleParM,H$3,0),INDEX(HoleParF,H$3,0)),Stableford_Points,2))</f>
        <v>2</v>
      </c>
      <c r="I49" s="11" cm="1">
        <f t="array" ref="I49">IF(ISBLANK(I46),"",VLOOKUP(I48-IF(INDEX(PlayerGender,SUMPRODUCT((PlayerPlayerNo=VALUE(RIGHT($A44,1)))*ROW(PlayerGender))-1)="M",INDEX(HoleParM,I$3,0),INDEX(HoleParF,I$3,0)),Stableford_Points,2))</f>
        <v>8</v>
      </c>
      <c r="J49" s="11" cm="1">
        <f t="array" ref="J49">IF(ISBLANK(J46),"",VLOOKUP(J48-IF(INDEX(PlayerGender,SUMPRODUCT((PlayerPlayerNo=VALUE(RIGHT($A44,1)))*ROW(PlayerGender))-1)="M",INDEX(HoleParM,J$3,0),INDEX(HoleParF,J$3,0)),Stableford_Points,2))</f>
        <v>2</v>
      </c>
      <c r="K49" s="11" cm="1">
        <f t="array" ref="K49">IF(ISBLANK(K46),"",VLOOKUP(K48-IF(INDEX(PlayerGender,SUMPRODUCT((PlayerPlayerNo=VALUE(RIGHT($A44,1)))*ROW(PlayerGender))-1)="M",INDEX(HoleParM,K$3,0),INDEX(HoleParF,K$3,0)),Stableford_Points,2))</f>
        <v>4</v>
      </c>
      <c r="L49" s="11" cm="1">
        <f t="array" ref="L49">IF(ISBLANK(L46),"",VLOOKUP(L48-IF(INDEX(PlayerGender,SUMPRODUCT((PlayerPlayerNo=VALUE(RIGHT($A44,1)))*ROW(PlayerGender))-1)="M",INDEX(HoleParM,L$3,0),INDEX(HoleParF,L$3,0)),Stableford_Points,2))</f>
        <v>4</v>
      </c>
      <c r="M49" s="11" cm="1">
        <f t="array" ref="M49">IF(ISBLANK(M46),"",VLOOKUP(M48-IF(INDEX(PlayerGender,SUMPRODUCT((PlayerPlayerNo=VALUE(RIGHT($A44,1)))*ROW(PlayerGender))-1)="M",INDEX(HoleParM,M$3,0),INDEX(HoleParF,M$3,0)),Stableford_Points,2))</f>
        <v>2</v>
      </c>
      <c r="N49" s="11" cm="1">
        <f t="array" ref="N49">IF(ISBLANK(N46),"",VLOOKUP(N48-IF(INDEX(PlayerGender,SUMPRODUCT((PlayerPlayerNo=VALUE(RIGHT($A44,1)))*ROW(PlayerGender))-1)="M",INDEX(HoleParM,N$3,0),INDEX(HoleParF,N$3,0)),Stableford_Points,2))</f>
        <v>8</v>
      </c>
      <c r="O49" s="11" cm="1">
        <f t="array" ref="O49">IF(ISBLANK(O46),"",VLOOKUP(O48-IF(INDEX(PlayerGender,SUMPRODUCT((PlayerPlayerNo=VALUE(RIGHT($A44,1)))*ROW(PlayerGender))-1)="M",INDEX(HoleParM,O$3,0),INDEX(HoleParF,O$3,0)),Stableford_Points,2))</f>
        <v>-1</v>
      </c>
      <c r="P49" s="11" cm="1">
        <f t="array" ref="P49">IF(ISBLANK(P46),"",VLOOKUP(P48-IF(INDEX(PlayerGender,SUMPRODUCT((PlayerPlayerNo=VALUE(RIGHT($A44,1)))*ROW(PlayerGender))-1)="M",INDEX(HoleParM,P$3,0),INDEX(HoleParF,P$3,0)),Stableford_Points,2))</f>
        <v>0</v>
      </c>
      <c r="Q49" s="11" cm="1">
        <f t="array" ref="Q49">IF(ISBLANK(Q46),"",VLOOKUP(Q48-IF(INDEX(PlayerGender,SUMPRODUCT((PlayerPlayerNo=VALUE(RIGHT($A44,1)))*ROW(PlayerGender))-1)="M",INDEX(HoleParM,Q$3,0),INDEX(HoleParF,Q$3,0)),Stableford_Points,2))</f>
        <v>1</v>
      </c>
      <c r="R49" s="11" cm="1">
        <f t="array" ref="R49">IF(ISBLANK(R46),"",VLOOKUP(R48-IF(INDEX(PlayerGender,SUMPRODUCT((PlayerPlayerNo=VALUE(RIGHT($A44,1)))*ROW(PlayerGender))-1)="M",INDEX(HoleParM,R$3,0),INDEX(HoleParF,R$3,0)),Stableford_Points,2))</f>
        <v>2</v>
      </c>
      <c r="S49" s="11" cm="1">
        <f t="array" ref="S49">IF(ISBLANK(S46),"",VLOOKUP(S48-IF(INDEX(PlayerGender,SUMPRODUCT((PlayerPlayerNo=VALUE(RIGHT($A44,1)))*ROW(PlayerGender))-1)="M",INDEX(HoleParM,S$3,0),INDEX(HoleParF,S$3,0)),Stableford_Points,2))</f>
        <v>4</v>
      </c>
      <c r="T49" s="11">
        <f t="array" ref="T49">IF(AND(ISBLANK(B46:S46)), "", SUM(B49:S49))</f>
        <v>58</v>
      </c>
      <c r="U49" s="11">
        <f>T49</f>
        <v>58</v>
      </c>
      <c r="V49" s="16">
        <f>IF(U49 = "","",_xlfn.RANK.EQ(U49,U:U,0))</f>
        <v>1</v>
      </c>
      <c r="W49" s="7" t="str">
        <f>IF(U49="","",IF(COUNTIF(V:V,V49)&gt;1,CONCATENATE("T",V49),TEXT(V49,"0")))</f>
        <v>1</v>
      </c>
      <c r="X49" s="14">
        <f ca="1">IF(U49="","",IF(ISNA(VLOOKUP(V49,PlacePayouts,1,FALSE)),"",AVERAGE(OFFSET(PlacePayouts,VLOOKUP(V49,PlacePayouts,1,FALSE)-1,1,COUNTIF(V:V,V49)))*Kitty))</f>
        <v>42</v>
      </c>
    </row>
    <row r="50" spans="1:24" ht="15.75" x14ac:dyDescent="0.25">
      <c r="A50" s="7"/>
    </row>
    <row r="51" spans="1:24" ht="15.75" x14ac:dyDescent="0.25">
      <c r="A51" s="7"/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20"/>
      <c r="U51" s="7"/>
      <c r="V51" s="15"/>
      <c r="W51" s="7"/>
    </row>
    <row r="52" spans="1:24" ht="15.75" x14ac:dyDescent="0.25">
      <c r="A52" s="19"/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5"/>
      <c r="W52" s="7"/>
    </row>
    <row r="53" spans="1:24" ht="15.75" x14ac:dyDescent="0.25">
      <c r="A53" s="19"/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5"/>
      <c r="W53" s="7"/>
    </row>
    <row r="54" spans="1:24" ht="15.75" x14ac:dyDescent="0.25">
      <c r="A54" s="7"/>
      <c r="B54" s="12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6"/>
      <c r="W54" s="7"/>
      <c r="X54" s="14"/>
    </row>
    <row r="55" spans="1:24" ht="15.75" x14ac:dyDescent="0.25">
      <c r="A55" s="7"/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6"/>
      <c r="W55" s="7"/>
      <c r="X55" s="14"/>
    </row>
    <row r="56" spans="1:24" ht="15.75" customHeight="1" x14ac:dyDescent="0.25">
      <c r="A56" s="7"/>
      <c r="B56" s="12"/>
      <c r="C56" s="13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7"/>
      <c r="U56" s="7"/>
      <c r="V56" s="15"/>
      <c r="W56" s="7"/>
    </row>
    <row r="57" spans="1:24" ht="15.75" customHeight="1" x14ac:dyDescent="0.25">
      <c r="A57" s="7"/>
      <c r="B57" s="7"/>
      <c r="C57" s="8"/>
      <c r="D57" s="9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15"/>
      <c r="W57" s="7"/>
    </row>
    <row r="58" spans="1:24" ht="15.75" x14ac:dyDescent="0.25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15"/>
      <c r="W58" s="7"/>
    </row>
    <row r="59" spans="1:24" ht="15.75" x14ac:dyDescent="0.25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15"/>
      <c r="W59" s="7"/>
    </row>
    <row r="60" spans="1:24" ht="15.75" x14ac:dyDescent="0.25">
      <c r="A60" s="7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7"/>
      <c r="U60" s="7"/>
      <c r="V60" s="15"/>
      <c r="W60" s="7"/>
    </row>
    <row r="61" spans="1:24" ht="15.75" x14ac:dyDescent="0.25">
      <c r="A61" s="7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7"/>
      <c r="U61" s="7"/>
      <c r="V61" s="15"/>
      <c r="W61" s="7"/>
    </row>
    <row r="62" spans="1:24" ht="15.75" x14ac:dyDescent="0.25">
      <c r="A62" s="7"/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20"/>
      <c r="U62" s="7"/>
      <c r="V62" s="15"/>
      <c r="W62" s="7"/>
    </row>
    <row r="63" spans="1:24" ht="15.75" x14ac:dyDescent="0.25">
      <c r="A63" s="19"/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5"/>
      <c r="W63" s="7"/>
    </row>
    <row r="64" spans="1:24" ht="15.75" x14ac:dyDescent="0.25">
      <c r="A64" s="19"/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5"/>
      <c r="W64" s="7"/>
    </row>
    <row r="65" spans="1:24" ht="15.75" x14ac:dyDescent="0.25">
      <c r="A65" s="7"/>
      <c r="B65" s="12"/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6"/>
      <c r="W65" s="7"/>
      <c r="X65" s="14"/>
    </row>
    <row r="67" spans="1:24" x14ac:dyDescent="0.25">
      <c r="C67" s="5"/>
      <c r="D67" s="6"/>
    </row>
    <row r="70" spans="1:24" x14ac:dyDescent="0.25"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</row>
    <row r="71" spans="1:24" x14ac:dyDescent="0.25"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</row>
    <row r="72" spans="1:24" x14ac:dyDescent="0.25"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</row>
    <row r="73" spans="1:24" x14ac:dyDescent="0.25"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</row>
    <row r="74" spans="1:24" x14ac:dyDescent="0.25"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</row>
    <row r="75" spans="1:24" x14ac:dyDescent="0.25"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</row>
    <row r="76" spans="1:24" x14ac:dyDescent="0.25"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</row>
    <row r="77" spans="1:24" x14ac:dyDescent="0.25"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</row>
    <row r="78" spans="1:24" x14ac:dyDescent="0.25"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18"/>
    </row>
    <row r="80" spans="1:24" x14ac:dyDescent="0.25">
      <c r="C80" s="5"/>
      <c r="D80" s="6"/>
    </row>
    <row r="83" spans="2:22" x14ac:dyDescent="0.25"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</row>
    <row r="84" spans="2:22" x14ac:dyDescent="0.25"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</row>
    <row r="85" spans="2:22" x14ac:dyDescent="0.25"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</row>
    <row r="86" spans="2:22" x14ac:dyDescent="0.25"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</row>
    <row r="87" spans="2:22" x14ac:dyDescent="0.25"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</row>
    <row r="88" spans="2:22" x14ac:dyDescent="0.25"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</row>
    <row r="89" spans="2:22" x14ac:dyDescent="0.25"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</row>
    <row r="90" spans="2:22" x14ac:dyDescent="0.25"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</row>
    <row r="91" spans="2:22" x14ac:dyDescent="0.25"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18"/>
    </row>
  </sheetData>
  <conditionalFormatting sqref="T11 T18 T25 T32 T39 T46">
    <cfRule type="cellIs" dxfId="0" priority="1" operator="equal">
      <formula>0</formula>
    </cfRule>
  </conditionalFormatting>
  <printOptions gridLines="1"/>
  <pageMargins left="0.2" right="0.2" top="0.2" bottom="0.2" header="0" footer="0"/>
  <pageSetup scale="76" fitToHeight="0" orientation="landscape" r:id="rId1"/>
  <rowBreaks count="1" manualBreakCount="1">
    <brk id="36" max="2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7A663B-535C-4AFC-8173-500F8E61D7C9}">
  <dimension ref="A1:E14"/>
  <sheetViews>
    <sheetView topLeftCell="A6" workbookViewId="0">
      <selection activeCell="D14" sqref="D14"/>
    </sheetView>
  </sheetViews>
  <sheetFormatPr defaultRowHeight="15" x14ac:dyDescent="0.25"/>
  <cols>
    <col min="1" max="1" width="14.140625" bestFit="1" customWidth="1"/>
    <col min="5" max="5" width="11" bestFit="1" customWidth="1"/>
  </cols>
  <sheetData>
    <row r="1" spans="1:5" x14ac:dyDescent="0.25">
      <c r="B1" t="s">
        <v>5</v>
      </c>
      <c r="C1" t="s">
        <v>6</v>
      </c>
      <c r="D1" t="s">
        <v>15</v>
      </c>
      <c r="E1" t="s">
        <v>26</v>
      </c>
    </row>
    <row r="2" spans="1:5" x14ac:dyDescent="0.25">
      <c r="A2" t="s">
        <v>2</v>
      </c>
      <c r="B2">
        <v>28.7</v>
      </c>
      <c r="C2">
        <v>6</v>
      </c>
      <c r="D2" t="s">
        <v>16</v>
      </c>
      <c r="E2" s="14">
        <v>10</v>
      </c>
    </row>
    <row r="3" spans="1:5" x14ac:dyDescent="0.25">
      <c r="A3" t="s">
        <v>25</v>
      </c>
      <c r="B3">
        <v>14.4</v>
      </c>
      <c r="C3">
        <v>1</v>
      </c>
      <c r="D3" t="s">
        <v>16</v>
      </c>
      <c r="E3" s="14">
        <v>10</v>
      </c>
    </row>
    <row r="4" spans="1:5" x14ac:dyDescent="0.25">
      <c r="A4" t="s">
        <v>36</v>
      </c>
      <c r="B4">
        <v>4.5999999999999996</v>
      </c>
      <c r="C4">
        <v>2</v>
      </c>
      <c r="D4" t="s">
        <v>16</v>
      </c>
      <c r="E4" s="14">
        <v>10</v>
      </c>
    </row>
    <row r="5" spans="1:5" x14ac:dyDescent="0.25">
      <c r="A5" t="s">
        <v>37</v>
      </c>
      <c r="B5">
        <v>26</v>
      </c>
      <c r="C5">
        <v>3</v>
      </c>
      <c r="D5" t="s">
        <v>16</v>
      </c>
      <c r="E5" s="14">
        <v>10</v>
      </c>
    </row>
    <row r="6" spans="1:5" x14ac:dyDescent="0.25">
      <c r="A6" t="s">
        <v>38</v>
      </c>
      <c r="B6">
        <v>12.6</v>
      </c>
      <c r="C6">
        <v>5</v>
      </c>
      <c r="D6" t="s">
        <v>16</v>
      </c>
      <c r="E6" s="14">
        <v>10</v>
      </c>
    </row>
    <row r="7" spans="1:5" x14ac:dyDescent="0.25">
      <c r="A7" t="s">
        <v>53</v>
      </c>
      <c r="B7">
        <v>16.7</v>
      </c>
      <c r="C7">
        <v>4</v>
      </c>
      <c r="D7" t="s">
        <v>16</v>
      </c>
      <c r="E7" s="14">
        <v>10</v>
      </c>
    </row>
    <row r="9" spans="1:5" x14ac:dyDescent="0.25">
      <c r="A9" t="s">
        <v>58</v>
      </c>
    </row>
    <row r="10" spans="1:5" x14ac:dyDescent="0.25">
      <c r="A10" t="s">
        <v>54</v>
      </c>
      <c r="B10" t="s">
        <v>7</v>
      </c>
      <c r="C10" t="s">
        <v>55</v>
      </c>
      <c r="D10" t="s">
        <v>56</v>
      </c>
    </row>
    <row r="11" spans="1:5" x14ac:dyDescent="0.25">
      <c r="A11">
        <v>95</v>
      </c>
      <c r="B11">
        <v>73.099999999999994</v>
      </c>
      <c r="C11">
        <v>127</v>
      </c>
      <c r="D11">
        <f>(A11-B11)*(113/C11)</f>
        <v>19.485826771653549</v>
      </c>
    </row>
    <row r="12" spans="1:5" x14ac:dyDescent="0.25">
      <c r="A12">
        <v>90</v>
      </c>
      <c r="B12">
        <v>69.8</v>
      </c>
      <c r="C12">
        <v>115</v>
      </c>
      <c r="D12">
        <f t="shared" ref="D12:D13" si="0">(A12-B12)*(113/C12)</f>
        <v>19.848695652173916</v>
      </c>
    </row>
    <row r="13" spans="1:5" x14ac:dyDescent="0.25">
      <c r="A13">
        <v>93</v>
      </c>
      <c r="B13">
        <v>68.400000000000006</v>
      </c>
      <c r="C13">
        <v>117</v>
      </c>
      <c r="D13">
        <f t="shared" si="0"/>
        <v>23.758974358974353</v>
      </c>
    </row>
    <row r="14" spans="1:5" x14ac:dyDescent="0.25">
      <c r="C14" t="s">
        <v>5</v>
      </c>
      <c r="D14">
        <f>ROUND(MIN(D11:D13)*0.96-2,1)</f>
        <v>16.7</v>
      </c>
    </row>
  </sheetData>
  <sortState xmlns:xlrd2="http://schemas.microsoft.com/office/spreadsheetml/2017/richdata2" ref="A2:C6">
    <sortCondition ref="C2:C6"/>
  </sortState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96AB4A-C363-4148-AA80-F3F659AFB420}">
  <dimension ref="A1:M22"/>
  <sheetViews>
    <sheetView workbookViewId="0">
      <selection activeCell="B14" sqref="B14"/>
    </sheetView>
  </sheetViews>
  <sheetFormatPr defaultRowHeight="15" x14ac:dyDescent="0.25"/>
  <cols>
    <col min="1" max="1" width="26.140625" bestFit="1" customWidth="1"/>
  </cols>
  <sheetData>
    <row r="1" spans="1:13" x14ac:dyDescent="0.25">
      <c r="A1" t="s">
        <v>7</v>
      </c>
      <c r="B1" t="s">
        <v>33</v>
      </c>
      <c r="G1" t="s">
        <v>30</v>
      </c>
      <c r="H1" t="s">
        <v>30</v>
      </c>
      <c r="I1" t="s">
        <v>31</v>
      </c>
      <c r="J1" t="s">
        <v>31</v>
      </c>
      <c r="L1" t="s">
        <v>40</v>
      </c>
    </row>
    <row r="2" spans="1:13" x14ac:dyDescent="0.25">
      <c r="A2" t="s">
        <v>8</v>
      </c>
      <c r="B2" t="s">
        <v>34</v>
      </c>
      <c r="F2" t="s">
        <v>27</v>
      </c>
      <c r="G2" t="s">
        <v>28</v>
      </c>
      <c r="H2" t="s">
        <v>29</v>
      </c>
      <c r="I2" t="s">
        <v>28</v>
      </c>
      <c r="J2" t="s">
        <v>29</v>
      </c>
      <c r="L2">
        <v>-3</v>
      </c>
      <c r="M2">
        <v>8</v>
      </c>
    </row>
    <row r="3" spans="1:13" x14ac:dyDescent="0.25">
      <c r="A3" t="s">
        <v>9</v>
      </c>
      <c r="B3">
        <v>123</v>
      </c>
      <c r="F3">
        <v>1</v>
      </c>
      <c r="G3">
        <v>5</v>
      </c>
      <c r="H3">
        <v>4</v>
      </c>
      <c r="I3">
        <v>5</v>
      </c>
      <c r="J3">
        <v>4</v>
      </c>
      <c r="L3">
        <v>-2</v>
      </c>
      <c r="M3">
        <v>8</v>
      </c>
    </row>
    <row r="4" spans="1:13" x14ac:dyDescent="0.25">
      <c r="A4" t="s">
        <v>10</v>
      </c>
      <c r="B4">
        <v>70.5</v>
      </c>
      <c r="F4">
        <v>2</v>
      </c>
      <c r="G4">
        <v>1</v>
      </c>
      <c r="H4">
        <v>4</v>
      </c>
      <c r="I4">
        <v>1</v>
      </c>
      <c r="J4">
        <v>4</v>
      </c>
      <c r="L4">
        <v>-1</v>
      </c>
      <c r="M4">
        <v>4</v>
      </c>
    </row>
    <row r="5" spans="1:13" x14ac:dyDescent="0.25">
      <c r="A5" t="s">
        <v>12</v>
      </c>
      <c r="B5">
        <v>72</v>
      </c>
      <c r="F5">
        <v>3</v>
      </c>
      <c r="G5">
        <v>13</v>
      </c>
      <c r="H5">
        <v>3</v>
      </c>
      <c r="I5">
        <v>13</v>
      </c>
      <c r="J5">
        <v>3</v>
      </c>
      <c r="L5">
        <v>0</v>
      </c>
      <c r="M5">
        <v>2</v>
      </c>
    </row>
    <row r="6" spans="1:13" x14ac:dyDescent="0.25">
      <c r="A6" t="s">
        <v>19</v>
      </c>
      <c r="B6" t="s">
        <v>35</v>
      </c>
      <c r="F6">
        <v>4</v>
      </c>
      <c r="G6">
        <v>11</v>
      </c>
      <c r="H6">
        <v>5</v>
      </c>
      <c r="I6">
        <v>11</v>
      </c>
      <c r="J6">
        <v>5</v>
      </c>
      <c r="L6">
        <v>1</v>
      </c>
      <c r="M6">
        <v>1</v>
      </c>
    </row>
    <row r="7" spans="1:13" x14ac:dyDescent="0.25">
      <c r="A7" t="s">
        <v>11</v>
      </c>
      <c r="B7">
        <v>125</v>
      </c>
      <c r="F7">
        <v>5</v>
      </c>
      <c r="G7">
        <v>3</v>
      </c>
      <c r="H7">
        <v>4</v>
      </c>
      <c r="I7">
        <v>3</v>
      </c>
      <c r="J7">
        <v>4</v>
      </c>
      <c r="L7">
        <v>2</v>
      </c>
      <c r="M7">
        <v>0</v>
      </c>
    </row>
    <row r="8" spans="1:13" x14ac:dyDescent="0.25">
      <c r="A8" t="s">
        <v>13</v>
      </c>
      <c r="B8">
        <v>69.7</v>
      </c>
      <c r="F8">
        <v>6</v>
      </c>
      <c r="G8">
        <v>15</v>
      </c>
      <c r="H8">
        <v>4</v>
      </c>
      <c r="I8">
        <v>15</v>
      </c>
      <c r="J8">
        <v>4</v>
      </c>
      <c r="L8">
        <v>3</v>
      </c>
      <c r="M8">
        <v>-1</v>
      </c>
    </row>
    <row r="9" spans="1:13" x14ac:dyDescent="0.25">
      <c r="A9" t="s">
        <v>14</v>
      </c>
      <c r="B9">
        <v>72</v>
      </c>
      <c r="F9">
        <v>7</v>
      </c>
      <c r="G9">
        <v>17</v>
      </c>
      <c r="H9">
        <v>3</v>
      </c>
      <c r="I9">
        <v>17</v>
      </c>
      <c r="J9">
        <v>3</v>
      </c>
      <c r="L9">
        <v>4</v>
      </c>
      <c r="M9">
        <v>-1</v>
      </c>
    </row>
    <row r="10" spans="1:13" x14ac:dyDescent="0.25">
      <c r="A10" t="s">
        <v>17</v>
      </c>
      <c r="B10" s="4">
        <v>1</v>
      </c>
      <c r="F10">
        <v>8</v>
      </c>
      <c r="G10">
        <v>9</v>
      </c>
      <c r="H10">
        <v>5</v>
      </c>
      <c r="I10">
        <v>9</v>
      </c>
      <c r="J10">
        <v>5</v>
      </c>
      <c r="L10">
        <v>5</v>
      </c>
      <c r="M10">
        <v>-1</v>
      </c>
    </row>
    <row r="11" spans="1:13" x14ac:dyDescent="0.25">
      <c r="A11" t="s">
        <v>46</v>
      </c>
      <c r="B11">
        <v>36</v>
      </c>
      <c r="F11">
        <v>9</v>
      </c>
      <c r="G11">
        <v>7</v>
      </c>
      <c r="H11">
        <v>4</v>
      </c>
      <c r="I11">
        <v>7</v>
      </c>
      <c r="J11">
        <v>4</v>
      </c>
      <c r="L11">
        <v>6</v>
      </c>
      <c r="M11">
        <v>-1</v>
      </c>
    </row>
    <row r="12" spans="1:13" x14ac:dyDescent="0.25">
      <c r="F12">
        <v>10</v>
      </c>
      <c r="G12">
        <v>2</v>
      </c>
      <c r="H12">
        <v>4</v>
      </c>
      <c r="I12">
        <v>2</v>
      </c>
      <c r="J12">
        <v>4</v>
      </c>
      <c r="L12">
        <v>7</v>
      </c>
      <c r="M12">
        <v>-1</v>
      </c>
    </row>
    <row r="13" spans="1:13" x14ac:dyDescent="0.25">
      <c r="A13" t="s">
        <v>21</v>
      </c>
      <c r="F13">
        <v>11</v>
      </c>
      <c r="G13">
        <v>14</v>
      </c>
      <c r="H13">
        <v>3</v>
      </c>
      <c r="I13">
        <v>14</v>
      </c>
      <c r="J13">
        <v>3</v>
      </c>
      <c r="L13">
        <v>8</v>
      </c>
      <c r="M13">
        <v>-1</v>
      </c>
    </row>
    <row r="14" spans="1:13" x14ac:dyDescent="0.25">
      <c r="A14" t="s">
        <v>22</v>
      </c>
      <c r="B14" s="14">
        <f>SUM(EntryFees)</f>
        <v>60</v>
      </c>
      <c r="F14">
        <v>12</v>
      </c>
      <c r="G14">
        <v>8</v>
      </c>
      <c r="H14">
        <v>4</v>
      </c>
      <c r="I14">
        <v>8</v>
      </c>
      <c r="J14">
        <v>4</v>
      </c>
      <c r="L14">
        <v>9</v>
      </c>
      <c r="M14">
        <v>-1</v>
      </c>
    </row>
    <row r="15" spans="1:13" x14ac:dyDescent="0.25">
      <c r="A15" t="s">
        <v>23</v>
      </c>
      <c r="B15" t="s">
        <v>24</v>
      </c>
      <c r="F15">
        <v>13</v>
      </c>
      <c r="G15">
        <v>10</v>
      </c>
      <c r="H15">
        <v>4</v>
      </c>
      <c r="I15">
        <v>10</v>
      </c>
      <c r="J15">
        <v>4</v>
      </c>
      <c r="L15">
        <v>10</v>
      </c>
      <c r="M15">
        <v>-1</v>
      </c>
    </row>
    <row r="16" spans="1:13" x14ac:dyDescent="0.25">
      <c r="A16">
        <v>1</v>
      </c>
      <c r="B16" s="4">
        <v>0.7</v>
      </c>
      <c r="F16">
        <v>14</v>
      </c>
      <c r="G16">
        <v>4</v>
      </c>
      <c r="H16">
        <v>5</v>
      </c>
      <c r="I16">
        <v>4</v>
      </c>
      <c r="J16">
        <v>5</v>
      </c>
    </row>
    <row r="17" spans="1:10" x14ac:dyDescent="0.25">
      <c r="A17">
        <v>2</v>
      </c>
      <c r="B17" s="4">
        <v>0.3</v>
      </c>
      <c r="F17">
        <v>15</v>
      </c>
      <c r="G17">
        <v>12</v>
      </c>
      <c r="H17">
        <v>4</v>
      </c>
      <c r="I17">
        <v>12</v>
      </c>
      <c r="J17">
        <v>4</v>
      </c>
    </row>
    <row r="18" spans="1:10" x14ac:dyDescent="0.25">
      <c r="A18">
        <v>3</v>
      </c>
      <c r="B18" s="4">
        <v>0</v>
      </c>
      <c r="F18">
        <v>16</v>
      </c>
      <c r="G18">
        <v>18</v>
      </c>
      <c r="H18">
        <v>4</v>
      </c>
      <c r="I18">
        <v>18</v>
      </c>
      <c r="J18">
        <v>4</v>
      </c>
    </row>
    <row r="19" spans="1:10" x14ac:dyDescent="0.25">
      <c r="A19">
        <v>4</v>
      </c>
      <c r="B19" s="4">
        <v>0</v>
      </c>
      <c r="F19">
        <v>17</v>
      </c>
      <c r="G19">
        <v>16</v>
      </c>
      <c r="H19">
        <v>3</v>
      </c>
      <c r="I19">
        <v>16</v>
      </c>
      <c r="J19">
        <v>3</v>
      </c>
    </row>
    <row r="20" spans="1:10" x14ac:dyDescent="0.25">
      <c r="A20">
        <v>5</v>
      </c>
      <c r="B20" s="4">
        <v>0</v>
      </c>
      <c r="F20">
        <v>18</v>
      </c>
      <c r="G20">
        <v>6</v>
      </c>
      <c r="H20">
        <v>5</v>
      </c>
      <c r="I20">
        <v>6</v>
      </c>
      <c r="J20">
        <v>5</v>
      </c>
    </row>
    <row r="21" spans="1:10" x14ac:dyDescent="0.25">
      <c r="A21">
        <v>6</v>
      </c>
      <c r="B21" s="4">
        <v>0</v>
      </c>
      <c r="F21" t="s">
        <v>32</v>
      </c>
      <c r="H21">
        <f>SUM(H3:H20)</f>
        <v>72</v>
      </c>
      <c r="J21">
        <f>SUM(J3:J20)</f>
        <v>72</v>
      </c>
    </row>
    <row r="22" spans="1:10" x14ac:dyDescent="0.25">
      <c r="A22">
        <v>7</v>
      </c>
      <c r="B22" s="4">
        <v>0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16</vt:i4>
      </vt:variant>
    </vt:vector>
  </HeadingPairs>
  <TitlesOfParts>
    <vt:vector size="19" baseType="lpstr">
      <vt:lpstr>2022 March Stableford Scores</vt:lpstr>
      <vt:lpstr>Players</vt:lpstr>
      <vt:lpstr>Course &amp; Tourney</vt:lpstr>
      <vt:lpstr>EntryFees</vt:lpstr>
      <vt:lpstr>Handicap_Allowance</vt:lpstr>
      <vt:lpstr>HoleHandicapF</vt:lpstr>
      <vt:lpstr>HoleHandicapM</vt:lpstr>
      <vt:lpstr>HoleInfo</vt:lpstr>
      <vt:lpstr>HoleParF</vt:lpstr>
      <vt:lpstr>HoleParM</vt:lpstr>
      <vt:lpstr>Kitty</vt:lpstr>
      <vt:lpstr>Max_Handicap</vt:lpstr>
      <vt:lpstr>PlacePayouts</vt:lpstr>
      <vt:lpstr>PlayerGender</vt:lpstr>
      <vt:lpstr>PlayerHandicaps</vt:lpstr>
      <vt:lpstr>PlayerNames</vt:lpstr>
      <vt:lpstr>PlayerPlayerNo</vt:lpstr>
      <vt:lpstr>'2022 March Stableford Scores'!Print_Area</vt:lpstr>
      <vt:lpstr>Stableford_Points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Dad's Gaming PC</dc:creator>
  <cp:lastModifiedBy>Dad's Gaming PC</cp:lastModifiedBy>
  <cp:lastPrinted>2022-03-21T20:46:18Z</cp:lastPrinted>
  <dcterms:created xsi:type="dcterms:W3CDTF">2020-11-08T06:36:47Z</dcterms:created>
  <dcterms:modified xsi:type="dcterms:W3CDTF">2022-03-21T20:57:12Z</dcterms:modified>
</cp:coreProperties>
</file>