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d's Gaming PC\Documents\John Personal\"/>
    </mc:Choice>
  </mc:AlternateContent>
  <xr:revisionPtr revIDLastSave="0" documentId="8_{B36600D3-1382-9141-B7BD-FC03D28E70B0}" xr6:coauthVersionLast="47" xr6:coauthVersionMax="47" xr10:uidLastSave="{00000000-0000-0000-0000-000000000000}"/>
  <bookViews>
    <workbookView xWindow="-120" yWindow="-120" windowWidth="29040" windowHeight="15840" activeTab="3" xr2:uid="{154BBAC1-B773-4CBF-97A2-0D3C1BE39B36}"/>
  </bookViews>
  <sheets>
    <sheet name="2022 Flying Horse Scoresheet" sheetId="1" r:id="rId1"/>
    <sheet name="Players" sheetId="2" r:id="rId2"/>
    <sheet name="Course &amp; Tourney" sheetId="3" r:id="rId3"/>
    <sheet name="Results" sheetId="4" r:id="rId4"/>
  </sheets>
  <definedNames>
    <definedName name="Back9Payouts">'Course &amp; Tourney'!$A$41:$B$50</definedName>
    <definedName name="EntryFees">Players!$G$2:$G$17</definedName>
    <definedName name="Front9Payouts">'Course &amp; Tourney'!$A$28:$B$37</definedName>
    <definedName name="HandicapAllowance">'Course &amp; Tourney'!$B$10</definedName>
    <definedName name="HoleHandicapF">'Course &amp; Tourney'!$K$3:$K$20</definedName>
    <definedName name="HoleHandicapM">'Course &amp; Tourney'!$I$3:$I$20</definedName>
    <definedName name="HoleInfo">'Course &amp; Tourney'!$H$3:$H$20</definedName>
    <definedName name="HoleParF">'Course &amp; Tourney'!$L$3:$L$20</definedName>
    <definedName name="HoleParM">'Course &amp; Tourney'!$J$3:$J$20</definedName>
    <definedName name="Kitty">'Course &amp; Tourney'!$B$13</definedName>
    <definedName name="MaxIndex">'Course &amp; Tourney'!$B$11</definedName>
    <definedName name="MensTees">'Course &amp; Tourney'!$B$2:$E$5</definedName>
    <definedName name="PlacePayouts">'Course &amp; Tourney'!$A$15:$B$24</definedName>
    <definedName name="PlayerGender">Players!$E$2:$E$17</definedName>
    <definedName name="PlayerHandicaps">Players!$B$2:$B$17</definedName>
    <definedName name="PlayerNames">Players!$A$2:$A$17</definedName>
    <definedName name="PlayerPlayerNo">Players!$D$2:$D$17</definedName>
    <definedName name="PlayerTeamNo">Players!$C$2:$C$17</definedName>
    <definedName name="PlayerTees">Players!$F$2:$F$17</definedName>
    <definedName name="_xlnm.Print_Area" localSheetId="0">'2022 Flying Horse Scoresheet'!$A$2:$V$125</definedName>
    <definedName name="WomenTees">'Course &amp; Tourney'!$B$6:$E$10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91" i="1" l="1"/>
  <c r="B27" i="1"/>
  <c r="T2" i="4" a="1"/>
  <c r="T2" i="4"/>
  <c r="V2" i="4" a="1"/>
  <c r="V2" i="4"/>
  <c r="A125" i="1"/>
  <c r="V122" i="1"/>
  <c r="U122" i="1"/>
  <c r="K122" i="1"/>
  <c r="V119" i="1"/>
  <c r="U119" i="1"/>
  <c r="K119" i="1"/>
  <c r="T118" i="1" a="1"/>
  <c r="T118" i="1"/>
  <c r="S118" i="1" a="1"/>
  <c r="S118" i="1"/>
  <c r="R118" i="1" a="1"/>
  <c r="R118" i="1"/>
  <c r="Q118" i="1" a="1"/>
  <c r="Q118" i="1"/>
  <c r="P118" i="1" a="1"/>
  <c r="P118" i="1"/>
  <c r="O118" i="1" a="1"/>
  <c r="O118" i="1"/>
  <c r="N118" i="1" a="1"/>
  <c r="N118" i="1"/>
  <c r="M118" i="1" a="1"/>
  <c r="M118" i="1"/>
  <c r="L118" i="1" a="1"/>
  <c r="L118" i="1"/>
  <c r="J118" i="1" a="1"/>
  <c r="J118" i="1"/>
  <c r="I118" i="1" a="1"/>
  <c r="I118" i="1"/>
  <c r="H118" i="1" a="1"/>
  <c r="H118" i="1"/>
  <c r="G118" i="1" a="1"/>
  <c r="G118" i="1"/>
  <c r="F118" i="1" a="1"/>
  <c r="F118" i="1"/>
  <c r="E118" i="1" a="1"/>
  <c r="E118" i="1"/>
  <c r="D118" i="1" a="1"/>
  <c r="D118" i="1"/>
  <c r="C118" i="1" a="1"/>
  <c r="C118" i="1"/>
  <c r="B118" i="1" a="1"/>
  <c r="B118" i="1"/>
  <c r="T117" i="1" a="1"/>
  <c r="T117" i="1"/>
  <c r="S117" i="1" a="1"/>
  <c r="S117" i="1"/>
  <c r="R117" i="1" a="1"/>
  <c r="R117" i="1"/>
  <c r="Q117" i="1" a="1"/>
  <c r="Q117" i="1"/>
  <c r="P117" i="1" a="1"/>
  <c r="P117" i="1"/>
  <c r="O117" i="1" a="1"/>
  <c r="O117" i="1"/>
  <c r="N117" i="1" a="1"/>
  <c r="N117" i="1"/>
  <c r="M117" i="1" a="1"/>
  <c r="M117" i="1"/>
  <c r="L117" i="1" a="1"/>
  <c r="L117" i="1"/>
  <c r="J117" i="1" a="1"/>
  <c r="J117" i="1"/>
  <c r="I117" i="1" a="1"/>
  <c r="I117" i="1"/>
  <c r="H117" i="1" a="1"/>
  <c r="H117" i="1"/>
  <c r="G117" i="1" a="1"/>
  <c r="G117" i="1"/>
  <c r="F117" i="1" a="1"/>
  <c r="F117" i="1"/>
  <c r="E117" i="1" a="1"/>
  <c r="E117" i="1"/>
  <c r="D117" i="1" a="1"/>
  <c r="D117" i="1"/>
  <c r="C117" i="1" a="1"/>
  <c r="C117" i="1"/>
  <c r="B117" i="1" a="1"/>
  <c r="B117" i="1"/>
  <c r="A115" i="1" a="1"/>
  <c r="A115" i="1"/>
  <c r="C114" i="1" a="1"/>
  <c r="C114" i="1"/>
  <c r="B114" i="1" a="1"/>
  <c r="B114" i="1"/>
  <c r="A114" i="1" a="1"/>
  <c r="A114" i="1"/>
  <c r="A120" i="1"/>
  <c r="A108" i="1"/>
  <c r="V105" i="1"/>
  <c r="U105" i="1"/>
  <c r="K105" i="1"/>
  <c r="V102" i="1"/>
  <c r="U102" i="1"/>
  <c r="K102" i="1"/>
  <c r="T101" i="1" a="1"/>
  <c r="T101" i="1"/>
  <c r="S101" i="1" a="1"/>
  <c r="S101" i="1"/>
  <c r="R101" i="1" a="1"/>
  <c r="R101" i="1"/>
  <c r="Q101" i="1" a="1"/>
  <c r="Q101" i="1"/>
  <c r="P101" i="1" a="1"/>
  <c r="P101" i="1"/>
  <c r="O101" i="1" a="1"/>
  <c r="O101" i="1"/>
  <c r="N101" i="1" a="1"/>
  <c r="N101" i="1"/>
  <c r="M101" i="1" a="1"/>
  <c r="M101" i="1"/>
  <c r="L101" i="1" a="1"/>
  <c r="L101" i="1"/>
  <c r="J101" i="1" a="1"/>
  <c r="J101" i="1"/>
  <c r="I101" i="1" a="1"/>
  <c r="I101" i="1"/>
  <c r="H101" i="1" a="1"/>
  <c r="H101" i="1"/>
  <c r="G101" i="1" a="1"/>
  <c r="G101" i="1"/>
  <c r="F101" i="1" a="1"/>
  <c r="F101" i="1"/>
  <c r="E101" i="1" a="1"/>
  <c r="E101" i="1"/>
  <c r="D101" i="1" a="1"/>
  <c r="D101" i="1"/>
  <c r="C101" i="1" a="1"/>
  <c r="C101" i="1"/>
  <c r="B101" i="1" a="1"/>
  <c r="B101" i="1"/>
  <c r="T100" i="1" a="1"/>
  <c r="T100" i="1"/>
  <c r="S100" i="1" a="1"/>
  <c r="S100" i="1"/>
  <c r="R100" i="1" a="1"/>
  <c r="R100" i="1"/>
  <c r="Q100" i="1" a="1"/>
  <c r="Q100" i="1"/>
  <c r="P100" i="1" a="1"/>
  <c r="P100" i="1"/>
  <c r="O100" i="1" a="1"/>
  <c r="O100" i="1"/>
  <c r="N100" i="1" a="1"/>
  <c r="N100" i="1"/>
  <c r="M100" i="1" a="1"/>
  <c r="M100" i="1"/>
  <c r="L100" i="1" a="1"/>
  <c r="L100" i="1"/>
  <c r="J100" i="1" a="1"/>
  <c r="J100" i="1"/>
  <c r="I100" i="1" a="1"/>
  <c r="I100" i="1"/>
  <c r="H100" i="1" a="1"/>
  <c r="H100" i="1"/>
  <c r="G100" i="1" a="1"/>
  <c r="G100" i="1"/>
  <c r="F100" i="1" a="1"/>
  <c r="F100" i="1"/>
  <c r="E100" i="1" a="1"/>
  <c r="E100" i="1"/>
  <c r="D100" i="1" a="1"/>
  <c r="D100" i="1"/>
  <c r="C100" i="1" a="1"/>
  <c r="C100" i="1"/>
  <c r="B100" i="1" a="1"/>
  <c r="B100" i="1"/>
  <c r="A98" i="1" a="1"/>
  <c r="A98" i="1"/>
  <c r="C97" i="1" a="1"/>
  <c r="C97" i="1"/>
  <c r="B97" i="1" a="1"/>
  <c r="B97" i="1"/>
  <c r="A97" i="1" a="1"/>
  <c r="A97" i="1"/>
  <c r="A103" i="1"/>
  <c r="A94" i="1"/>
  <c r="V91" i="1"/>
  <c r="K91" i="1"/>
  <c r="V88" i="1"/>
  <c r="U88" i="1"/>
  <c r="K88" i="1"/>
  <c r="T87" i="1" a="1"/>
  <c r="T87" i="1"/>
  <c r="S87" i="1" a="1"/>
  <c r="S87" i="1"/>
  <c r="R87" i="1" a="1"/>
  <c r="R87" i="1"/>
  <c r="Q87" i="1" a="1"/>
  <c r="Q87" i="1"/>
  <c r="P87" i="1" a="1"/>
  <c r="P87" i="1"/>
  <c r="O87" i="1" a="1"/>
  <c r="O87" i="1"/>
  <c r="N87" i="1" a="1"/>
  <c r="N87" i="1"/>
  <c r="M87" i="1" a="1"/>
  <c r="M87" i="1"/>
  <c r="L87" i="1" a="1"/>
  <c r="L87" i="1"/>
  <c r="J87" i="1" a="1"/>
  <c r="J87" i="1"/>
  <c r="I87" i="1" a="1"/>
  <c r="I87" i="1"/>
  <c r="H87" i="1" a="1"/>
  <c r="H87" i="1"/>
  <c r="G87" i="1" a="1"/>
  <c r="G87" i="1"/>
  <c r="F87" i="1" a="1"/>
  <c r="F87" i="1"/>
  <c r="E87" i="1" a="1"/>
  <c r="E87" i="1"/>
  <c r="D87" i="1" a="1"/>
  <c r="D87" i="1"/>
  <c r="C87" i="1" a="1"/>
  <c r="C87" i="1"/>
  <c r="B87" i="1" a="1"/>
  <c r="B87" i="1"/>
  <c r="T86" i="1" a="1"/>
  <c r="T86" i="1"/>
  <c r="S86" i="1" a="1"/>
  <c r="S86" i="1"/>
  <c r="R86" i="1" a="1"/>
  <c r="R86" i="1"/>
  <c r="Q86" i="1" a="1"/>
  <c r="Q86" i="1"/>
  <c r="P86" i="1" a="1"/>
  <c r="P86" i="1"/>
  <c r="O86" i="1" a="1"/>
  <c r="O86" i="1"/>
  <c r="N86" i="1" a="1"/>
  <c r="N86" i="1"/>
  <c r="M86" i="1" a="1"/>
  <c r="M86" i="1"/>
  <c r="L86" i="1" a="1"/>
  <c r="L86" i="1"/>
  <c r="J86" i="1" a="1"/>
  <c r="J86" i="1"/>
  <c r="I86" i="1" a="1"/>
  <c r="I86" i="1"/>
  <c r="H86" i="1" a="1"/>
  <c r="H86" i="1"/>
  <c r="G86" i="1" a="1"/>
  <c r="G86" i="1"/>
  <c r="F86" i="1" a="1"/>
  <c r="F86" i="1"/>
  <c r="E86" i="1" a="1"/>
  <c r="E86" i="1"/>
  <c r="D86" i="1" a="1"/>
  <c r="D86" i="1"/>
  <c r="C86" i="1" a="1"/>
  <c r="C86" i="1"/>
  <c r="B86" i="1" a="1"/>
  <c r="B86" i="1"/>
  <c r="A84" i="1" a="1"/>
  <c r="A84" i="1"/>
  <c r="C83" i="1" a="1"/>
  <c r="C83" i="1"/>
  <c r="B83" i="1" a="1"/>
  <c r="B83" i="1"/>
  <c r="A83" i="1" a="1"/>
  <c r="A83" i="1"/>
  <c r="A77" i="1"/>
  <c r="V74" i="1"/>
  <c r="U74" i="1"/>
  <c r="K74" i="1"/>
  <c r="V71" i="1"/>
  <c r="U71" i="1"/>
  <c r="K71" i="1"/>
  <c r="T70" i="1" a="1"/>
  <c r="T70" i="1"/>
  <c r="S70" i="1" a="1"/>
  <c r="S70" i="1"/>
  <c r="R70" i="1" a="1"/>
  <c r="R70" i="1"/>
  <c r="Q70" i="1" a="1"/>
  <c r="Q70" i="1"/>
  <c r="P70" i="1" a="1"/>
  <c r="P70" i="1"/>
  <c r="O70" i="1" a="1"/>
  <c r="O70" i="1"/>
  <c r="N70" i="1" a="1"/>
  <c r="N70" i="1"/>
  <c r="M70" i="1" a="1"/>
  <c r="M70" i="1"/>
  <c r="L70" i="1" a="1"/>
  <c r="L70" i="1"/>
  <c r="J70" i="1" a="1"/>
  <c r="J70" i="1"/>
  <c r="I70" i="1" a="1"/>
  <c r="I70" i="1"/>
  <c r="H70" i="1" a="1"/>
  <c r="H70" i="1"/>
  <c r="G70" i="1" a="1"/>
  <c r="G70" i="1"/>
  <c r="F70" i="1" a="1"/>
  <c r="F70" i="1"/>
  <c r="E70" i="1" a="1"/>
  <c r="E70" i="1"/>
  <c r="D70" i="1" a="1"/>
  <c r="D70" i="1"/>
  <c r="C70" i="1" a="1"/>
  <c r="C70" i="1"/>
  <c r="B70" i="1" a="1"/>
  <c r="B70" i="1"/>
  <c r="T69" i="1" a="1"/>
  <c r="T69" i="1"/>
  <c r="S69" i="1" a="1"/>
  <c r="S69" i="1"/>
  <c r="R69" i="1" a="1"/>
  <c r="R69" i="1"/>
  <c r="Q69" i="1" a="1"/>
  <c r="Q69" i="1"/>
  <c r="P69" i="1" a="1"/>
  <c r="P69" i="1"/>
  <c r="O69" i="1" a="1"/>
  <c r="O69" i="1"/>
  <c r="N69" i="1" a="1"/>
  <c r="N69" i="1"/>
  <c r="M69" i="1" a="1"/>
  <c r="M69" i="1"/>
  <c r="L69" i="1" a="1"/>
  <c r="L69" i="1"/>
  <c r="J69" i="1" a="1"/>
  <c r="J69" i="1"/>
  <c r="I69" i="1" a="1"/>
  <c r="I69" i="1"/>
  <c r="H69" i="1" a="1"/>
  <c r="H69" i="1"/>
  <c r="G69" i="1" a="1"/>
  <c r="G69" i="1"/>
  <c r="F69" i="1" a="1"/>
  <c r="F69" i="1"/>
  <c r="E69" i="1" a="1"/>
  <c r="E69" i="1"/>
  <c r="D69" i="1" a="1"/>
  <c r="D69" i="1"/>
  <c r="C69" i="1" a="1"/>
  <c r="C69" i="1"/>
  <c r="B69" i="1" a="1"/>
  <c r="B69" i="1"/>
  <c r="A67" i="1" a="1"/>
  <c r="A67" i="1"/>
  <c r="C66" i="1" a="1"/>
  <c r="C66" i="1"/>
  <c r="B66" i="1" a="1"/>
  <c r="B66" i="1"/>
  <c r="A66" i="1" a="1"/>
  <c r="A66" i="1"/>
  <c r="A63" i="1"/>
  <c r="V60" i="1"/>
  <c r="U60" i="1"/>
  <c r="K60" i="1"/>
  <c r="V57" i="1"/>
  <c r="U57" i="1"/>
  <c r="K57" i="1"/>
  <c r="T56" i="1" a="1"/>
  <c r="T56" i="1"/>
  <c r="S56" i="1" a="1"/>
  <c r="S56" i="1"/>
  <c r="R56" i="1" a="1"/>
  <c r="R56" i="1"/>
  <c r="Q56" i="1" a="1"/>
  <c r="Q56" i="1"/>
  <c r="P56" i="1" a="1"/>
  <c r="P56" i="1"/>
  <c r="O56" i="1" a="1"/>
  <c r="O56" i="1"/>
  <c r="N56" i="1" a="1"/>
  <c r="N56" i="1"/>
  <c r="M56" i="1" a="1"/>
  <c r="M56" i="1"/>
  <c r="L56" i="1" a="1"/>
  <c r="L56" i="1"/>
  <c r="J56" i="1" a="1"/>
  <c r="J56" i="1"/>
  <c r="I56" i="1" a="1"/>
  <c r="I56" i="1"/>
  <c r="H56" i="1" a="1"/>
  <c r="H56" i="1"/>
  <c r="G56" i="1" a="1"/>
  <c r="G56" i="1"/>
  <c r="F56" i="1" a="1"/>
  <c r="F56" i="1"/>
  <c r="E56" i="1" a="1"/>
  <c r="E56" i="1"/>
  <c r="D56" i="1" a="1"/>
  <c r="D56" i="1"/>
  <c r="C56" i="1" a="1"/>
  <c r="C56" i="1"/>
  <c r="B56" i="1" a="1"/>
  <c r="B56" i="1"/>
  <c r="T55" i="1" a="1"/>
  <c r="T55" i="1"/>
  <c r="S55" i="1" a="1"/>
  <c r="S55" i="1"/>
  <c r="R55" i="1" a="1"/>
  <c r="R55" i="1"/>
  <c r="Q55" i="1" a="1"/>
  <c r="Q55" i="1"/>
  <c r="P55" i="1" a="1"/>
  <c r="P55" i="1"/>
  <c r="O55" i="1" a="1"/>
  <c r="O55" i="1"/>
  <c r="N55" i="1" a="1"/>
  <c r="N55" i="1"/>
  <c r="M55" i="1" a="1"/>
  <c r="M55" i="1"/>
  <c r="L55" i="1" a="1"/>
  <c r="L55" i="1"/>
  <c r="J55" i="1" a="1"/>
  <c r="J55" i="1"/>
  <c r="I55" i="1" a="1"/>
  <c r="I55" i="1"/>
  <c r="H55" i="1" a="1"/>
  <c r="H55" i="1"/>
  <c r="G55" i="1" a="1"/>
  <c r="G55" i="1"/>
  <c r="F55" i="1" a="1"/>
  <c r="F55" i="1"/>
  <c r="E55" i="1" a="1"/>
  <c r="E55" i="1"/>
  <c r="D55" i="1" a="1"/>
  <c r="D55" i="1"/>
  <c r="C55" i="1" a="1"/>
  <c r="C55" i="1"/>
  <c r="B55" i="1" a="1"/>
  <c r="B55" i="1"/>
  <c r="A53" i="1" a="1"/>
  <c r="A53" i="1"/>
  <c r="C52" i="1" a="1"/>
  <c r="C52" i="1"/>
  <c r="B52" i="1" a="1"/>
  <c r="B52" i="1"/>
  <c r="A52" i="1" a="1"/>
  <c r="A52" i="1"/>
  <c r="A46" i="1"/>
  <c r="V43" i="1"/>
  <c r="U43" i="1"/>
  <c r="K43" i="1"/>
  <c r="V40" i="1"/>
  <c r="U40" i="1"/>
  <c r="K40" i="1"/>
  <c r="T39" i="1" a="1"/>
  <c r="T39" i="1"/>
  <c r="S39" i="1" a="1"/>
  <c r="S39" i="1"/>
  <c r="R39" i="1" a="1"/>
  <c r="R39" i="1"/>
  <c r="Q39" i="1" a="1"/>
  <c r="Q39" i="1"/>
  <c r="P39" i="1" a="1"/>
  <c r="P39" i="1"/>
  <c r="O39" i="1" a="1"/>
  <c r="O39" i="1"/>
  <c r="N39" i="1" a="1"/>
  <c r="N39" i="1"/>
  <c r="M39" i="1" a="1"/>
  <c r="M39" i="1"/>
  <c r="L39" i="1" a="1"/>
  <c r="L39" i="1"/>
  <c r="J39" i="1" a="1"/>
  <c r="J39" i="1"/>
  <c r="I39" i="1" a="1"/>
  <c r="I39" i="1"/>
  <c r="H39" i="1" a="1"/>
  <c r="H39" i="1"/>
  <c r="G39" i="1" a="1"/>
  <c r="G39" i="1"/>
  <c r="F39" i="1" a="1"/>
  <c r="F39" i="1"/>
  <c r="E39" i="1" a="1"/>
  <c r="E39" i="1"/>
  <c r="D39" i="1" a="1"/>
  <c r="D39" i="1"/>
  <c r="C39" i="1" a="1"/>
  <c r="C39" i="1"/>
  <c r="B39" i="1" a="1"/>
  <c r="B39" i="1"/>
  <c r="T38" i="1" a="1"/>
  <c r="T38" i="1"/>
  <c r="S38" i="1" a="1"/>
  <c r="S38" i="1"/>
  <c r="R38" i="1" a="1"/>
  <c r="R38" i="1"/>
  <c r="Q38" i="1" a="1"/>
  <c r="Q38" i="1"/>
  <c r="P38" i="1" a="1"/>
  <c r="P38" i="1"/>
  <c r="O38" i="1" a="1"/>
  <c r="O38" i="1"/>
  <c r="N38" i="1" a="1"/>
  <c r="N38" i="1"/>
  <c r="M38" i="1" a="1"/>
  <c r="M38" i="1"/>
  <c r="L38" i="1" a="1"/>
  <c r="L38" i="1"/>
  <c r="J38" i="1" a="1"/>
  <c r="J38" i="1"/>
  <c r="I38" i="1" a="1"/>
  <c r="I38" i="1"/>
  <c r="H38" i="1" a="1"/>
  <c r="H38" i="1"/>
  <c r="G38" i="1" a="1"/>
  <c r="G38" i="1"/>
  <c r="F38" i="1" a="1"/>
  <c r="F38" i="1"/>
  <c r="E38" i="1" a="1"/>
  <c r="E38" i="1"/>
  <c r="D38" i="1" a="1"/>
  <c r="D38" i="1"/>
  <c r="C38" i="1" a="1"/>
  <c r="C38" i="1"/>
  <c r="B38" i="1" a="1"/>
  <c r="B38" i="1"/>
  <c r="A36" i="1" a="1"/>
  <c r="A36" i="1"/>
  <c r="C35" i="1" a="1"/>
  <c r="C35" i="1"/>
  <c r="B35" i="1" a="1"/>
  <c r="B35" i="1"/>
  <c r="A35" i="1" a="1"/>
  <c r="A35" i="1"/>
  <c r="A32" i="1"/>
  <c r="V29" i="1"/>
  <c r="U29" i="1"/>
  <c r="K29" i="1"/>
  <c r="V26" i="1"/>
  <c r="U26" i="1"/>
  <c r="K26" i="1"/>
  <c r="T25" i="1" a="1"/>
  <c r="T25" i="1"/>
  <c r="S25" i="1" a="1"/>
  <c r="S25" i="1"/>
  <c r="R25" i="1" a="1"/>
  <c r="R25" i="1"/>
  <c r="Q25" i="1" a="1"/>
  <c r="Q25" i="1"/>
  <c r="P25" i="1" a="1"/>
  <c r="P25" i="1"/>
  <c r="O25" i="1" a="1"/>
  <c r="O25" i="1"/>
  <c r="N25" i="1" a="1"/>
  <c r="N25" i="1"/>
  <c r="M25" i="1" a="1"/>
  <c r="M25" i="1"/>
  <c r="L25" i="1" a="1"/>
  <c r="L25" i="1"/>
  <c r="J25" i="1" a="1"/>
  <c r="J25" i="1"/>
  <c r="I25" i="1" a="1"/>
  <c r="I25" i="1"/>
  <c r="H25" i="1" a="1"/>
  <c r="H25" i="1"/>
  <c r="G25" i="1" a="1"/>
  <c r="G25" i="1"/>
  <c r="F25" i="1" a="1"/>
  <c r="F25" i="1"/>
  <c r="E25" i="1" a="1"/>
  <c r="E25" i="1"/>
  <c r="D25" i="1" a="1"/>
  <c r="D25" i="1"/>
  <c r="C25" i="1" a="1"/>
  <c r="C25" i="1"/>
  <c r="B25" i="1" a="1"/>
  <c r="B25" i="1"/>
  <c r="T24" i="1" a="1"/>
  <c r="T24" i="1"/>
  <c r="S24" i="1" a="1"/>
  <c r="S24" i="1"/>
  <c r="R24" i="1" a="1"/>
  <c r="R24" i="1"/>
  <c r="Q24" i="1" a="1"/>
  <c r="Q24" i="1"/>
  <c r="P24" i="1" a="1"/>
  <c r="P24" i="1"/>
  <c r="O24" i="1" a="1"/>
  <c r="O24" i="1"/>
  <c r="N24" i="1" a="1"/>
  <c r="N24" i="1"/>
  <c r="M24" i="1" a="1"/>
  <c r="M24" i="1"/>
  <c r="L24" i="1" a="1"/>
  <c r="L24" i="1"/>
  <c r="J24" i="1" a="1"/>
  <c r="J24" i="1"/>
  <c r="I24" i="1" a="1"/>
  <c r="I24" i="1"/>
  <c r="H24" i="1" a="1"/>
  <c r="H24" i="1"/>
  <c r="G24" i="1" a="1"/>
  <c r="G24" i="1"/>
  <c r="F24" i="1" a="1"/>
  <c r="F24" i="1"/>
  <c r="E24" i="1" a="1"/>
  <c r="E24" i="1"/>
  <c r="D24" i="1" a="1"/>
  <c r="D24" i="1"/>
  <c r="C24" i="1" a="1"/>
  <c r="C24" i="1"/>
  <c r="B24" i="1" a="1"/>
  <c r="B24" i="1"/>
  <c r="A22" i="1" a="1"/>
  <c r="A22" i="1"/>
  <c r="C21" i="1" a="1"/>
  <c r="C21" i="1"/>
  <c r="B21" i="1" a="1"/>
  <c r="B21" i="1"/>
  <c r="A21" i="1" a="1"/>
  <c r="A21" i="1"/>
  <c r="V12" i="1"/>
  <c r="V9" i="1"/>
  <c r="U12" i="1"/>
  <c r="U9" i="1"/>
  <c r="K12" i="1"/>
  <c r="K9" i="1"/>
  <c r="A5" i="1" a="1"/>
  <c r="A5" i="1"/>
  <c r="A12" i="1"/>
  <c r="C4" i="1" a="1"/>
  <c r="C4" i="1"/>
  <c r="B4" i="1" a="1"/>
  <c r="B4" i="1"/>
  <c r="A4" i="1" a="1"/>
  <c r="A4" i="1"/>
  <c r="I18" i="2"/>
  <c r="H18" i="2"/>
  <c r="J18" i="2"/>
  <c r="T8" i="1" a="1"/>
  <c r="T8" i="1"/>
  <c r="S8" i="1" a="1"/>
  <c r="S8" i="1"/>
  <c r="R8" i="1" a="1"/>
  <c r="R8" i="1"/>
  <c r="Q8" i="1" a="1"/>
  <c r="Q8" i="1"/>
  <c r="P8" i="1" a="1"/>
  <c r="P8" i="1"/>
  <c r="O8" i="1" a="1"/>
  <c r="O8" i="1"/>
  <c r="N8" i="1" a="1"/>
  <c r="N8" i="1"/>
  <c r="M8" i="1" a="1"/>
  <c r="M8" i="1"/>
  <c r="L8" i="1" a="1"/>
  <c r="L8" i="1"/>
  <c r="J8" i="1" a="1"/>
  <c r="J8" i="1"/>
  <c r="I8" i="1" a="1"/>
  <c r="I8" i="1"/>
  <c r="H8" i="1" a="1"/>
  <c r="H8" i="1"/>
  <c r="G8" i="1" a="1"/>
  <c r="G8" i="1"/>
  <c r="F8" i="1" a="1"/>
  <c r="F8" i="1"/>
  <c r="E8" i="1" a="1"/>
  <c r="E8" i="1"/>
  <c r="D8" i="1" a="1"/>
  <c r="D8" i="1"/>
  <c r="C8" i="1" a="1"/>
  <c r="C8" i="1"/>
  <c r="B8" i="1" a="1"/>
  <c r="B8" i="1"/>
  <c r="T7" i="1" a="1"/>
  <c r="T7" i="1"/>
  <c r="S7" i="1" a="1"/>
  <c r="S7" i="1"/>
  <c r="R7" i="1" a="1"/>
  <c r="R7" i="1"/>
  <c r="Q7" i="1" a="1"/>
  <c r="Q7" i="1"/>
  <c r="P7" i="1" a="1"/>
  <c r="P7" i="1"/>
  <c r="O7" i="1" a="1"/>
  <c r="O7" i="1"/>
  <c r="N7" i="1" a="1"/>
  <c r="N7" i="1"/>
  <c r="M7" i="1" a="1"/>
  <c r="M7" i="1"/>
  <c r="L7" i="1" a="1"/>
  <c r="L7" i="1"/>
  <c r="J7" i="1" a="1"/>
  <c r="J7" i="1"/>
  <c r="I7" i="1" a="1"/>
  <c r="I7" i="1"/>
  <c r="H7" i="1" a="1"/>
  <c r="H7" i="1"/>
  <c r="G7" i="1" a="1"/>
  <c r="G7" i="1"/>
  <c r="F7" i="1" a="1"/>
  <c r="F7" i="1"/>
  <c r="E7" i="1" a="1"/>
  <c r="E7" i="1"/>
  <c r="D7" i="1" a="1"/>
  <c r="D7" i="1"/>
  <c r="C7" i="1" a="1"/>
  <c r="C7" i="1"/>
  <c r="B7" i="1" a="1"/>
  <c r="B7" i="1"/>
  <c r="K21" i="3"/>
  <c r="I21" i="3"/>
  <c r="L21" i="3"/>
  <c r="J21" i="3"/>
  <c r="D114" i="1" a="1"/>
  <c r="D114" i="1"/>
  <c r="D66" i="1" a="1"/>
  <c r="D66" i="1"/>
  <c r="E66" i="1"/>
  <c r="D97" i="1" a="1"/>
  <c r="D97" i="1"/>
  <c r="E97" i="1"/>
  <c r="D52" i="1" a="1"/>
  <c r="D52" i="1"/>
  <c r="E52" i="1"/>
  <c r="D35" i="1" a="1"/>
  <c r="D35" i="1"/>
  <c r="E35" i="1"/>
  <c r="D83" i="1" a="1"/>
  <c r="D83" i="1"/>
  <c r="E83" i="1"/>
  <c r="D21" i="1" a="1"/>
  <c r="D21" i="1"/>
  <c r="E21" i="1"/>
  <c r="D4" i="1" a="1"/>
  <c r="D4" i="1"/>
  <c r="E4" i="1"/>
  <c r="A13" i="1"/>
  <c r="A14" i="1"/>
  <c r="U7" i="1"/>
  <c r="E114" i="1"/>
  <c r="A123" i="1"/>
  <c r="B115" i="1" a="1"/>
  <c r="B115" i="1"/>
  <c r="A124" i="1"/>
  <c r="A122" i="1"/>
  <c r="C115" i="1" a="1"/>
  <c r="C115" i="1"/>
  <c r="V117" i="1"/>
  <c r="U117" i="1"/>
  <c r="K117" i="1"/>
  <c r="A119" i="1"/>
  <c r="A121" i="1"/>
  <c r="A106" i="1"/>
  <c r="A107" i="1"/>
  <c r="B98" i="1" a="1"/>
  <c r="B98" i="1"/>
  <c r="A105" i="1"/>
  <c r="C98" i="1" a="1"/>
  <c r="C98" i="1"/>
  <c r="V100" i="1"/>
  <c r="U100" i="1"/>
  <c r="K100" i="1"/>
  <c r="A102" i="1"/>
  <c r="A104" i="1"/>
  <c r="U86" i="1"/>
  <c r="V86" i="1"/>
  <c r="A89" i="1"/>
  <c r="A90" i="1"/>
  <c r="A88" i="1"/>
  <c r="B84" i="1" a="1"/>
  <c r="B84" i="1"/>
  <c r="A92" i="1"/>
  <c r="A93" i="1"/>
  <c r="C84" i="1" a="1"/>
  <c r="C84" i="1"/>
  <c r="A91" i="1"/>
  <c r="K86" i="1"/>
  <c r="B67" i="1" a="1"/>
  <c r="B67" i="1"/>
  <c r="A75" i="1"/>
  <c r="A76" i="1"/>
  <c r="A74" i="1"/>
  <c r="C67" i="1" a="1"/>
  <c r="C67" i="1"/>
  <c r="V69" i="1"/>
  <c r="U69" i="1"/>
  <c r="A72" i="1"/>
  <c r="A73" i="1"/>
  <c r="A71" i="1"/>
  <c r="K69" i="1"/>
  <c r="A61" i="1"/>
  <c r="A62" i="1"/>
  <c r="A60" i="1"/>
  <c r="C53" i="1" a="1"/>
  <c r="C53" i="1"/>
  <c r="D53" i="1" a="1"/>
  <c r="D53" i="1"/>
  <c r="B53" i="1" a="1"/>
  <c r="B53" i="1"/>
  <c r="U55" i="1"/>
  <c r="V55" i="1"/>
  <c r="A58" i="1"/>
  <c r="A59" i="1"/>
  <c r="A57" i="1"/>
  <c r="K55" i="1"/>
  <c r="A41" i="1"/>
  <c r="A42" i="1"/>
  <c r="A40" i="1"/>
  <c r="U38" i="1"/>
  <c r="V38" i="1"/>
  <c r="A44" i="1"/>
  <c r="A45" i="1"/>
  <c r="A43" i="1"/>
  <c r="C36" i="1" a="1"/>
  <c r="C36" i="1"/>
  <c r="B36" i="1" a="1"/>
  <c r="B36" i="1"/>
  <c r="K38" i="1"/>
  <c r="A27" i="1"/>
  <c r="A28" i="1"/>
  <c r="A26" i="1"/>
  <c r="V24" i="1"/>
  <c r="U24" i="1"/>
  <c r="A30" i="1"/>
  <c r="A31" i="1"/>
  <c r="B22" i="1" a="1"/>
  <c r="B22" i="1"/>
  <c r="A29" i="1"/>
  <c r="C22" i="1" a="1"/>
  <c r="C22" i="1"/>
  <c r="K24" i="1"/>
  <c r="C5" i="1" a="1"/>
  <c r="C5" i="1"/>
  <c r="B5" i="1" a="1"/>
  <c r="B5" i="1"/>
  <c r="V7" i="1"/>
  <c r="K7" i="1"/>
  <c r="B13" i="3"/>
  <c r="A15" i="1"/>
  <c r="D5" i="1" a="1"/>
  <c r="D5" i="1"/>
  <c r="D84" i="1" a="1"/>
  <c r="D84" i="1"/>
  <c r="E84" i="1"/>
  <c r="D67" i="1" a="1"/>
  <c r="D67" i="1"/>
  <c r="E67" i="1"/>
  <c r="D115" i="1" a="1"/>
  <c r="D115" i="1"/>
  <c r="E115" i="1"/>
  <c r="D36" i="1" a="1"/>
  <c r="D36" i="1"/>
  <c r="E36" i="1"/>
  <c r="D22" i="1" a="1"/>
  <c r="D22" i="1"/>
  <c r="E22" i="1"/>
  <c r="D98" i="1" a="1"/>
  <c r="D98" i="1"/>
  <c r="E98" i="1"/>
  <c r="E53" i="1"/>
  <c r="P61" i="1"/>
  <c r="P62" i="1"/>
  <c r="R120" i="1"/>
  <c r="R121" i="1"/>
  <c r="R124" i="1"/>
  <c r="R125" i="1"/>
  <c r="J120" i="1"/>
  <c r="J121" i="1"/>
  <c r="J124" i="1"/>
  <c r="J125" i="1"/>
  <c r="B120" i="1"/>
  <c r="Q120" i="1"/>
  <c r="Q121" i="1"/>
  <c r="Q124" i="1"/>
  <c r="Q125" i="1"/>
  <c r="I120" i="1"/>
  <c r="I121" i="1"/>
  <c r="I124" i="1"/>
  <c r="I125" i="1"/>
  <c r="P120" i="1"/>
  <c r="P121" i="1"/>
  <c r="P124" i="1"/>
  <c r="P125" i="1"/>
  <c r="H120" i="1"/>
  <c r="H121" i="1"/>
  <c r="H124" i="1"/>
  <c r="H125" i="1"/>
  <c r="O120" i="1"/>
  <c r="O121" i="1"/>
  <c r="G120" i="1"/>
  <c r="G121" i="1"/>
  <c r="N120" i="1"/>
  <c r="N121" i="1"/>
  <c r="N124" i="1"/>
  <c r="N125" i="1"/>
  <c r="F120" i="1"/>
  <c r="F121" i="1"/>
  <c r="F124" i="1"/>
  <c r="F125" i="1"/>
  <c r="S120" i="1"/>
  <c r="S121" i="1"/>
  <c r="S124" i="1"/>
  <c r="S125" i="1"/>
  <c r="C120" i="1"/>
  <c r="C121" i="1"/>
  <c r="M120" i="1"/>
  <c r="M121" i="1"/>
  <c r="M124" i="1"/>
  <c r="M125" i="1"/>
  <c r="E120" i="1"/>
  <c r="E121" i="1"/>
  <c r="T120" i="1"/>
  <c r="T121" i="1"/>
  <c r="T124" i="1"/>
  <c r="T125" i="1"/>
  <c r="L120" i="1"/>
  <c r="D120" i="1"/>
  <c r="D121" i="1"/>
  <c r="R103" i="1"/>
  <c r="R104" i="1"/>
  <c r="J103" i="1"/>
  <c r="J104" i="1"/>
  <c r="B103" i="1"/>
  <c r="Q103" i="1"/>
  <c r="Q104" i="1"/>
  <c r="I103" i="1"/>
  <c r="I104" i="1"/>
  <c r="P103" i="1"/>
  <c r="P104" i="1"/>
  <c r="H103" i="1"/>
  <c r="H104" i="1"/>
  <c r="O103" i="1"/>
  <c r="O104" i="1"/>
  <c r="G103" i="1"/>
  <c r="G104" i="1"/>
  <c r="N103" i="1"/>
  <c r="N104" i="1"/>
  <c r="N107" i="1"/>
  <c r="N108" i="1"/>
  <c r="F103" i="1"/>
  <c r="F104" i="1"/>
  <c r="C103" i="1"/>
  <c r="C104" i="1"/>
  <c r="M103" i="1"/>
  <c r="M104" i="1"/>
  <c r="E103" i="1"/>
  <c r="E104" i="1"/>
  <c r="S103" i="1"/>
  <c r="S104" i="1"/>
  <c r="T103" i="1"/>
  <c r="T104" i="1"/>
  <c r="L103" i="1"/>
  <c r="D103" i="1"/>
  <c r="D104" i="1"/>
  <c r="R89" i="1"/>
  <c r="R90" i="1"/>
  <c r="J89" i="1"/>
  <c r="J90" i="1"/>
  <c r="B89" i="1"/>
  <c r="Q89" i="1"/>
  <c r="Q90" i="1"/>
  <c r="I89" i="1"/>
  <c r="I90" i="1"/>
  <c r="P89" i="1"/>
  <c r="P90" i="1"/>
  <c r="H89" i="1"/>
  <c r="H90" i="1"/>
  <c r="O89" i="1"/>
  <c r="O90" i="1"/>
  <c r="G89" i="1"/>
  <c r="G90" i="1"/>
  <c r="S89" i="1"/>
  <c r="S90" i="1"/>
  <c r="C89" i="1"/>
  <c r="C90" i="1"/>
  <c r="N89" i="1"/>
  <c r="N90" i="1"/>
  <c r="F89" i="1"/>
  <c r="F90" i="1"/>
  <c r="M89" i="1"/>
  <c r="M90" i="1"/>
  <c r="E89" i="1"/>
  <c r="E90" i="1"/>
  <c r="T89" i="1"/>
  <c r="T90" i="1"/>
  <c r="L89" i="1"/>
  <c r="D89" i="1"/>
  <c r="D90" i="1"/>
  <c r="R72" i="1"/>
  <c r="R73" i="1"/>
  <c r="J72" i="1"/>
  <c r="J73" i="1"/>
  <c r="B72" i="1"/>
  <c r="S72" i="1"/>
  <c r="S73" i="1"/>
  <c r="Q72" i="1"/>
  <c r="Q73" i="1"/>
  <c r="I72" i="1"/>
  <c r="I73" i="1"/>
  <c r="P72" i="1"/>
  <c r="P73" i="1"/>
  <c r="P76" i="1"/>
  <c r="P77" i="1"/>
  <c r="H72" i="1"/>
  <c r="H73" i="1"/>
  <c r="O72" i="1"/>
  <c r="O73" i="1"/>
  <c r="O76" i="1"/>
  <c r="O77" i="1"/>
  <c r="G72" i="1"/>
  <c r="G73" i="1"/>
  <c r="G76" i="1"/>
  <c r="G77" i="1"/>
  <c r="N72" i="1"/>
  <c r="N73" i="1"/>
  <c r="F72" i="1"/>
  <c r="F73" i="1"/>
  <c r="C72" i="1"/>
  <c r="C73" i="1"/>
  <c r="M72" i="1"/>
  <c r="M73" i="1"/>
  <c r="M76" i="1"/>
  <c r="M77" i="1"/>
  <c r="E72" i="1"/>
  <c r="E73" i="1"/>
  <c r="T72" i="1"/>
  <c r="T73" i="1"/>
  <c r="T76" i="1"/>
  <c r="T77" i="1"/>
  <c r="L72" i="1"/>
  <c r="D72" i="1"/>
  <c r="D73" i="1"/>
  <c r="R58" i="1"/>
  <c r="R59" i="1"/>
  <c r="J58" i="1"/>
  <c r="J59" i="1"/>
  <c r="B58" i="1"/>
  <c r="Q58" i="1"/>
  <c r="Q59" i="1"/>
  <c r="I58" i="1"/>
  <c r="I59" i="1"/>
  <c r="P58" i="1"/>
  <c r="P59" i="1"/>
  <c r="P63" i="1"/>
  <c r="H58" i="1"/>
  <c r="H59" i="1"/>
  <c r="O58" i="1"/>
  <c r="O59" i="1"/>
  <c r="G58" i="1"/>
  <c r="G59" i="1"/>
  <c r="N58" i="1"/>
  <c r="N59" i="1"/>
  <c r="F58" i="1"/>
  <c r="F59" i="1"/>
  <c r="S58" i="1"/>
  <c r="S59" i="1"/>
  <c r="C58" i="1"/>
  <c r="C59" i="1"/>
  <c r="M58" i="1"/>
  <c r="M59" i="1"/>
  <c r="E58" i="1"/>
  <c r="E59" i="1"/>
  <c r="T58" i="1"/>
  <c r="T59" i="1"/>
  <c r="L58" i="1"/>
  <c r="D58" i="1"/>
  <c r="D59" i="1"/>
  <c r="R41" i="1"/>
  <c r="R42" i="1"/>
  <c r="J41" i="1"/>
  <c r="J42" i="1"/>
  <c r="B41" i="1"/>
  <c r="Q41" i="1"/>
  <c r="Q42" i="1"/>
  <c r="I41" i="1"/>
  <c r="I42" i="1"/>
  <c r="P41" i="1"/>
  <c r="P42" i="1"/>
  <c r="H41" i="1"/>
  <c r="H42" i="1"/>
  <c r="O41" i="1"/>
  <c r="O42" i="1"/>
  <c r="G41" i="1"/>
  <c r="G42" i="1"/>
  <c r="N41" i="1"/>
  <c r="N42" i="1"/>
  <c r="F41" i="1"/>
  <c r="F42" i="1"/>
  <c r="M41" i="1"/>
  <c r="M42" i="1"/>
  <c r="E41" i="1"/>
  <c r="E42" i="1"/>
  <c r="S41" i="1"/>
  <c r="S42" i="1"/>
  <c r="C41" i="1"/>
  <c r="C42" i="1"/>
  <c r="T41" i="1"/>
  <c r="T42" i="1"/>
  <c r="L41" i="1"/>
  <c r="D41" i="1"/>
  <c r="D42" i="1"/>
  <c r="R27" i="1"/>
  <c r="R28" i="1"/>
  <c r="J27" i="1"/>
  <c r="J28" i="1"/>
  <c r="Q27" i="1"/>
  <c r="Q28" i="1"/>
  <c r="I27" i="1"/>
  <c r="I28" i="1"/>
  <c r="P27" i="1"/>
  <c r="P28" i="1"/>
  <c r="H27" i="1"/>
  <c r="H28" i="1"/>
  <c r="O27" i="1"/>
  <c r="O28" i="1"/>
  <c r="G27" i="1"/>
  <c r="G28" i="1"/>
  <c r="N27" i="1"/>
  <c r="N28" i="1"/>
  <c r="F27" i="1"/>
  <c r="F28" i="1"/>
  <c r="M27" i="1"/>
  <c r="M28" i="1"/>
  <c r="E27" i="1"/>
  <c r="E28" i="1"/>
  <c r="T27" i="1"/>
  <c r="T28" i="1"/>
  <c r="L27" i="1"/>
  <c r="D27" i="1"/>
  <c r="D28" i="1"/>
  <c r="S27" i="1"/>
  <c r="S28" i="1"/>
  <c r="C27" i="1"/>
  <c r="C28" i="1"/>
  <c r="E5" i="1"/>
  <c r="A9" i="1"/>
  <c r="P10" i="1"/>
  <c r="P11" i="1"/>
  <c r="A10" i="1"/>
  <c r="A11" i="1"/>
  <c r="M93" i="1"/>
  <c r="M94" i="1"/>
  <c r="O92" i="1"/>
  <c r="O93" i="1"/>
  <c r="G92" i="1"/>
  <c r="G93" i="1"/>
  <c r="G94" i="1"/>
  <c r="J92" i="1"/>
  <c r="J93" i="1"/>
  <c r="N92" i="1"/>
  <c r="N93" i="1"/>
  <c r="F92" i="1"/>
  <c r="F93" i="1"/>
  <c r="F94" i="1"/>
  <c r="C92" i="1"/>
  <c r="C93" i="1"/>
  <c r="Q92" i="1"/>
  <c r="Q93" i="1"/>
  <c r="Q94" i="1"/>
  <c r="E92" i="1"/>
  <c r="E93" i="1"/>
  <c r="H92" i="1"/>
  <c r="H93" i="1"/>
  <c r="P92" i="1"/>
  <c r="P93" i="1"/>
  <c r="P94" i="1"/>
  <c r="L92" i="1"/>
  <c r="M92" i="1"/>
  <c r="R92" i="1"/>
  <c r="R93" i="1"/>
  <c r="R94" i="1"/>
  <c r="T92" i="1"/>
  <c r="T93" i="1"/>
  <c r="T94" i="1"/>
  <c r="I92" i="1"/>
  <c r="I93" i="1"/>
  <c r="I94" i="1"/>
  <c r="S92" i="1"/>
  <c r="S93" i="1"/>
  <c r="B92" i="1"/>
  <c r="D92" i="1"/>
  <c r="D93" i="1"/>
  <c r="J61" i="1"/>
  <c r="J62" i="1"/>
  <c r="R61" i="1"/>
  <c r="R62" i="1"/>
  <c r="G61" i="1"/>
  <c r="G62" i="1"/>
  <c r="T61" i="1"/>
  <c r="T62" i="1"/>
  <c r="T63" i="1"/>
  <c r="F61" i="1"/>
  <c r="F62" i="1"/>
  <c r="F63" i="1"/>
  <c r="D61" i="1"/>
  <c r="D62" i="1"/>
  <c r="N61" i="1"/>
  <c r="N62" i="1"/>
  <c r="N63" i="1"/>
  <c r="M61" i="1"/>
  <c r="M62" i="1"/>
  <c r="M63" i="1"/>
  <c r="C61" i="1"/>
  <c r="C62" i="1"/>
  <c r="L61" i="1"/>
  <c r="H61" i="1"/>
  <c r="H62" i="1"/>
  <c r="Q61" i="1"/>
  <c r="Q62" i="1"/>
  <c r="E61" i="1"/>
  <c r="E62" i="1"/>
  <c r="E63" i="1"/>
  <c r="O61" i="1"/>
  <c r="O62" i="1"/>
  <c r="B61" i="1"/>
  <c r="B62" i="1"/>
  <c r="I61" i="1"/>
  <c r="I62" i="1"/>
  <c r="S61" i="1"/>
  <c r="S62" i="1"/>
  <c r="S63" i="1"/>
  <c r="L106" i="1"/>
  <c r="C106" i="1"/>
  <c r="C107" i="1"/>
  <c r="H106" i="1"/>
  <c r="H107" i="1"/>
  <c r="T106" i="1"/>
  <c r="T107" i="1"/>
  <c r="N106" i="1"/>
  <c r="R106" i="1"/>
  <c r="R107" i="1"/>
  <c r="J106" i="1"/>
  <c r="J107" i="1"/>
  <c r="B106" i="1"/>
  <c r="B107" i="1"/>
  <c r="E106" i="1"/>
  <c r="E107" i="1"/>
  <c r="S44" i="1"/>
  <c r="S45" i="1"/>
  <c r="S46" i="1"/>
  <c r="M44" i="1"/>
  <c r="M45" i="1"/>
  <c r="F44" i="1"/>
  <c r="F45" i="1"/>
  <c r="P44" i="1"/>
  <c r="P45" i="1"/>
  <c r="P46" i="1"/>
  <c r="R44" i="1"/>
  <c r="R45" i="1"/>
  <c r="D44" i="1"/>
  <c r="D45" i="1"/>
  <c r="E44" i="1"/>
  <c r="E45" i="1"/>
  <c r="E46" i="1"/>
  <c r="L44" i="1"/>
  <c r="T44" i="1"/>
  <c r="T45" i="1"/>
  <c r="T46" i="1"/>
  <c r="J44" i="1"/>
  <c r="J45" i="1"/>
  <c r="J46" i="1"/>
  <c r="Q44" i="1"/>
  <c r="Q45" i="1"/>
  <c r="Q46" i="1"/>
  <c r="C44" i="1"/>
  <c r="C45" i="1"/>
  <c r="H44" i="1"/>
  <c r="H45" i="1"/>
  <c r="H46" i="1"/>
  <c r="G44" i="1"/>
  <c r="G45" i="1"/>
  <c r="G46" i="1"/>
  <c r="B44" i="1"/>
  <c r="I44" i="1"/>
  <c r="I45" i="1"/>
  <c r="I46" i="1"/>
  <c r="O44" i="1"/>
  <c r="O45" i="1"/>
  <c r="O46" i="1"/>
  <c r="N44" i="1"/>
  <c r="N45" i="1"/>
  <c r="L123" i="1"/>
  <c r="L124" i="1"/>
  <c r="O124" i="1"/>
  <c r="U124" i="1"/>
  <c r="J123" i="1"/>
  <c r="E123" i="1"/>
  <c r="E124" i="1"/>
  <c r="F123" i="1"/>
  <c r="D123" i="1"/>
  <c r="D124" i="1"/>
  <c r="B123" i="1"/>
  <c r="I123" i="1"/>
  <c r="S123" i="1"/>
  <c r="M123" i="1"/>
  <c r="P123" i="1"/>
  <c r="R123" i="1"/>
  <c r="C123" i="1"/>
  <c r="C124" i="1"/>
  <c r="N123" i="1"/>
  <c r="Q123" i="1"/>
  <c r="G123" i="1"/>
  <c r="G124" i="1"/>
  <c r="O123" i="1"/>
  <c r="H123" i="1"/>
  <c r="T123" i="1"/>
  <c r="B30" i="1"/>
  <c r="H30" i="1"/>
  <c r="H31" i="1"/>
  <c r="M30" i="1"/>
  <c r="M31" i="1"/>
  <c r="M32" i="1"/>
  <c r="G30" i="1"/>
  <c r="G31" i="1"/>
  <c r="F30" i="1"/>
  <c r="F31" i="1"/>
  <c r="O30" i="1"/>
  <c r="O31" i="1"/>
  <c r="O32" i="1"/>
  <c r="L30" i="1"/>
  <c r="L31" i="1"/>
  <c r="P30" i="1"/>
  <c r="P31" i="1"/>
  <c r="P32" i="1"/>
  <c r="R30" i="1"/>
  <c r="R31" i="1"/>
  <c r="T30" i="1"/>
  <c r="T31" i="1"/>
  <c r="E30" i="1"/>
  <c r="E31" i="1"/>
  <c r="Q30" i="1"/>
  <c r="Q31" i="1"/>
  <c r="Q32" i="1"/>
  <c r="N30" i="1"/>
  <c r="N31" i="1"/>
  <c r="D30" i="1"/>
  <c r="D31" i="1"/>
  <c r="I30" i="1"/>
  <c r="I31" i="1"/>
  <c r="J30" i="1"/>
  <c r="J31" i="1"/>
  <c r="C30" i="1"/>
  <c r="C31" i="1"/>
  <c r="C32" i="1"/>
  <c r="S30" i="1"/>
  <c r="S31" i="1"/>
  <c r="T75" i="1"/>
  <c r="S75" i="1"/>
  <c r="S76" i="1"/>
  <c r="B75" i="1"/>
  <c r="F75" i="1"/>
  <c r="F76" i="1"/>
  <c r="M75" i="1"/>
  <c r="G75" i="1"/>
  <c r="E75" i="1"/>
  <c r="E76" i="1"/>
  <c r="C75" i="1"/>
  <c r="C76" i="1"/>
  <c r="Q75" i="1"/>
  <c r="Q76" i="1"/>
  <c r="I75" i="1"/>
  <c r="I76" i="1"/>
  <c r="P75" i="1"/>
  <c r="H75" i="1"/>
  <c r="H76" i="1"/>
  <c r="N75" i="1"/>
  <c r="N76" i="1"/>
  <c r="D75" i="1"/>
  <c r="D76" i="1"/>
  <c r="J75" i="1"/>
  <c r="J76" i="1"/>
  <c r="L75" i="1"/>
  <c r="O75" i="1"/>
  <c r="R75" i="1"/>
  <c r="R76" i="1"/>
  <c r="G125" i="1"/>
  <c r="O125" i="1"/>
  <c r="J108" i="1"/>
  <c r="R108" i="1"/>
  <c r="D106" i="1"/>
  <c r="D107" i="1"/>
  <c r="F106" i="1"/>
  <c r="F107" i="1"/>
  <c r="T108" i="1"/>
  <c r="S106" i="1"/>
  <c r="S107" i="1"/>
  <c r="I106" i="1"/>
  <c r="I107" i="1"/>
  <c r="I108" i="1"/>
  <c r="E108" i="1"/>
  <c r="O106" i="1"/>
  <c r="O107" i="1"/>
  <c r="O108" i="1"/>
  <c r="P106" i="1"/>
  <c r="P107" i="1"/>
  <c r="P108" i="1"/>
  <c r="D94" i="1"/>
  <c r="S94" i="1"/>
  <c r="I77" i="1"/>
  <c r="C77" i="1"/>
  <c r="Q77" i="1"/>
  <c r="C63" i="1"/>
  <c r="Q63" i="1"/>
  <c r="R63" i="1"/>
  <c r="I32" i="1"/>
  <c r="E32" i="1"/>
  <c r="N32" i="1"/>
  <c r="D32" i="1"/>
  <c r="T32" i="1"/>
  <c r="R32" i="1"/>
  <c r="G13" i="1"/>
  <c r="G14" i="1"/>
  <c r="P13" i="1"/>
  <c r="P14" i="1"/>
  <c r="R13" i="1"/>
  <c r="R14" i="1"/>
  <c r="C13" i="1"/>
  <c r="C14" i="1"/>
  <c r="F13" i="1"/>
  <c r="F14" i="1"/>
  <c r="L13" i="1"/>
  <c r="O13" i="1"/>
  <c r="O14" i="1"/>
  <c r="H13" i="1"/>
  <c r="H14" i="1"/>
  <c r="T13" i="1"/>
  <c r="T14" i="1"/>
  <c r="Q13" i="1"/>
  <c r="Q14" i="1"/>
  <c r="B13" i="1"/>
  <c r="E13" i="1"/>
  <c r="E14" i="1"/>
  <c r="J13" i="1"/>
  <c r="J14" i="1"/>
  <c r="N13" i="1"/>
  <c r="N14" i="1"/>
  <c r="S13" i="1"/>
  <c r="S14" i="1"/>
  <c r="D13" i="1"/>
  <c r="D14" i="1"/>
  <c r="I13" i="1"/>
  <c r="I14" i="1"/>
  <c r="M13" i="1"/>
  <c r="M14" i="1"/>
  <c r="F32" i="1"/>
  <c r="C46" i="1"/>
  <c r="E77" i="1"/>
  <c r="H108" i="1"/>
  <c r="G106" i="1"/>
  <c r="G107" i="1"/>
  <c r="G108" i="1"/>
  <c r="M106" i="1"/>
  <c r="M107" i="1"/>
  <c r="Q106" i="1"/>
  <c r="Q107" i="1"/>
  <c r="Q108" i="1"/>
  <c r="J63" i="1"/>
  <c r="D125" i="1"/>
  <c r="G63" i="1"/>
  <c r="M46" i="1"/>
  <c r="S77" i="1"/>
  <c r="O94" i="1"/>
  <c r="C108" i="1"/>
  <c r="H32" i="1"/>
  <c r="F46" i="1"/>
  <c r="H63" i="1"/>
  <c r="E94" i="1"/>
  <c r="D108" i="1"/>
  <c r="E125" i="1"/>
  <c r="C125" i="1"/>
  <c r="M108" i="1"/>
  <c r="J94" i="1"/>
  <c r="N94" i="1"/>
  <c r="F77" i="1"/>
  <c r="N77" i="1"/>
  <c r="J77" i="1"/>
  <c r="H77" i="1"/>
  <c r="D63" i="1"/>
  <c r="O63" i="1"/>
  <c r="R46" i="1"/>
  <c r="D46" i="1"/>
  <c r="J32" i="1"/>
  <c r="S32" i="1"/>
  <c r="B124" i="1"/>
  <c r="B121" i="1"/>
  <c r="V120" i="1"/>
  <c r="K120" i="1"/>
  <c r="L121" i="1"/>
  <c r="U120" i="1"/>
  <c r="F108" i="1"/>
  <c r="B104" i="1"/>
  <c r="V103" i="1"/>
  <c r="K103" i="1"/>
  <c r="L107" i="1"/>
  <c r="U107" i="1"/>
  <c r="L104" i="1"/>
  <c r="U103" i="1"/>
  <c r="S108" i="1"/>
  <c r="C94" i="1"/>
  <c r="K89" i="1"/>
  <c r="B90" i="1"/>
  <c r="V89" i="1"/>
  <c r="L90" i="1"/>
  <c r="U89" i="1"/>
  <c r="B93" i="1"/>
  <c r="U92" i="1"/>
  <c r="L93" i="1"/>
  <c r="H94" i="1"/>
  <c r="B73" i="1"/>
  <c r="V72" i="1"/>
  <c r="K72" i="1"/>
  <c r="D77" i="1"/>
  <c r="L73" i="1"/>
  <c r="U72" i="1"/>
  <c r="R77" i="1"/>
  <c r="B76" i="1"/>
  <c r="I63" i="1"/>
  <c r="B59" i="1"/>
  <c r="V58" i="1"/>
  <c r="K58" i="1"/>
  <c r="L59" i="1"/>
  <c r="U58" i="1"/>
  <c r="L62" i="1"/>
  <c r="U62" i="1"/>
  <c r="B42" i="1"/>
  <c r="V41" i="1"/>
  <c r="K41" i="1"/>
  <c r="N46" i="1"/>
  <c r="L45" i="1"/>
  <c r="U45" i="1"/>
  <c r="L42" i="1"/>
  <c r="U41" i="1"/>
  <c r="B31" i="1"/>
  <c r="B28" i="1"/>
  <c r="K27" i="1"/>
  <c r="V27" i="1"/>
  <c r="G32" i="1"/>
  <c r="L28" i="1"/>
  <c r="U27" i="1"/>
  <c r="P15" i="1"/>
  <c r="D10" i="1"/>
  <c r="D11" i="1"/>
  <c r="J10" i="1"/>
  <c r="J11" i="1"/>
  <c r="E10" i="1"/>
  <c r="E11" i="1"/>
  <c r="G10" i="1"/>
  <c r="G11" i="1"/>
  <c r="C10" i="1"/>
  <c r="C11" i="1"/>
  <c r="C15" i="1"/>
  <c r="Q10" i="1"/>
  <c r="Q11" i="1"/>
  <c r="T10" i="1"/>
  <c r="T11" i="1"/>
  <c r="M10" i="1"/>
  <c r="M11" i="1"/>
  <c r="M15" i="1"/>
  <c r="O10" i="1"/>
  <c r="O11" i="1"/>
  <c r="B10" i="1"/>
  <c r="F10" i="1"/>
  <c r="F11" i="1"/>
  <c r="N10" i="1"/>
  <c r="N11" i="1"/>
  <c r="L10" i="1"/>
  <c r="H10" i="1"/>
  <c r="H11" i="1"/>
  <c r="R10" i="1"/>
  <c r="R11" i="1"/>
  <c r="R15" i="1"/>
  <c r="I10" i="1"/>
  <c r="I11" i="1"/>
  <c r="I15" i="1"/>
  <c r="S10" i="1"/>
  <c r="S11" i="1"/>
  <c r="U31" i="1"/>
  <c r="Q15" i="1"/>
  <c r="U93" i="1"/>
  <c r="V92" i="1"/>
  <c r="K92" i="1"/>
  <c r="E15" i="1"/>
  <c r="F15" i="1"/>
  <c r="D15" i="1"/>
  <c r="N15" i="1"/>
  <c r="S15" i="1"/>
  <c r="O15" i="1"/>
  <c r="T15" i="1"/>
  <c r="H15" i="1"/>
  <c r="G15" i="1"/>
  <c r="K61" i="1"/>
  <c r="U44" i="1"/>
  <c r="U75" i="1"/>
  <c r="K75" i="1"/>
  <c r="L76" i="1"/>
  <c r="U76" i="1"/>
  <c r="V61" i="1"/>
  <c r="K44" i="1"/>
  <c r="U61" i="1"/>
  <c r="U30" i="1"/>
  <c r="V123" i="1"/>
  <c r="B45" i="1"/>
  <c r="V45" i="1"/>
  <c r="K123" i="1"/>
  <c r="V44" i="1"/>
  <c r="V30" i="1"/>
  <c r="U123" i="1"/>
  <c r="K30" i="1"/>
  <c r="V75" i="1"/>
  <c r="U106" i="1"/>
  <c r="V106" i="1"/>
  <c r="J15" i="1"/>
  <c r="U13" i="1"/>
  <c r="L14" i="1"/>
  <c r="U14" i="1"/>
  <c r="U10" i="1"/>
  <c r="K13" i="1"/>
  <c r="V13" i="1"/>
  <c r="B14" i="1"/>
  <c r="B11" i="1"/>
  <c r="K10" i="1"/>
  <c r="V10" i="1"/>
  <c r="K106" i="1"/>
  <c r="K121" i="1"/>
  <c r="B125" i="1"/>
  <c r="V121" i="1"/>
  <c r="K124" i="1"/>
  <c r="V124" i="1"/>
  <c r="L125" i="1"/>
  <c r="U125" i="1"/>
  <c r="U121" i="1"/>
  <c r="K104" i="1"/>
  <c r="B108" i="1"/>
  <c r="V104" i="1"/>
  <c r="K107" i="1"/>
  <c r="V107" i="1"/>
  <c r="L108" i="1"/>
  <c r="U108" i="1"/>
  <c r="U104" i="1"/>
  <c r="K90" i="1"/>
  <c r="B94" i="1"/>
  <c r="V90" i="1"/>
  <c r="U90" i="1"/>
  <c r="L94" i="1"/>
  <c r="U94" i="1"/>
  <c r="K93" i="1"/>
  <c r="V93" i="1"/>
  <c r="K76" i="1"/>
  <c r="V76" i="1"/>
  <c r="K73" i="1"/>
  <c r="B77" i="1"/>
  <c r="V73" i="1"/>
  <c r="L77" i="1"/>
  <c r="U77" i="1"/>
  <c r="U73" i="1"/>
  <c r="K62" i="1"/>
  <c r="V62" i="1"/>
  <c r="L63" i="1"/>
  <c r="U63" i="1"/>
  <c r="U59" i="1"/>
  <c r="K59" i="1"/>
  <c r="B63" i="1"/>
  <c r="V59" i="1"/>
  <c r="K42" i="1"/>
  <c r="B46" i="1"/>
  <c r="V42" i="1"/>
  <c r="L46" i="1"/>
  <c r="U46" i="1"/>
  <c r="U42" i="1"/>
  <c r="K31" i="1"/>
  <c r="V31" i="1"/>
  <c r="L32" i="1"/>
  <c r="U32" i="1"/>
  <c r="U28" i="1"/>
  <c r="K28" i="1"/>
  <c r="B32" i="1"/>
  <c r="V28" i="1"/>
  <c r="L11" i="1"/>
  <c r="U11" i="1"/>
  <c r="K45" i="1"/>
  <c r="V11" i="1"/>
  <c r="K11" i="1"/>
  <c r="B15" i="1"/>
  <c r="K14" i="1"/>
  <c r="V14" i="1"/>
  <c r="L15" i="1"/>
  <c r="U15" i="1"/>
  <c r="V125" i="1"/>
  <c r="K125" i="1"/>
  <c r="V108" i="1"/>
  <c r="K108" i="1"/>
  <c r="V94" i="1"/>
  <c r="K94" i="1"/>
  <c r="V77" i="1"/>
  <c r="K77" i="1"/>
  <c r="V63" i="1"/>
  <c r="K63" i="1"/>
  <c r="V46" i="1"/>
  <c r="K46" i="1"/>
  <c r="V32" i="1"/>
  <c r="K32" i="1"/>
  <c r="K15" i="1"/>
  <c r="V15" i="1"/>
  <c r="N2" i="4" a="1"/>
  <c r="N2" i="4"/>
  <c r="B2" i="4" a="1"/>
  <c r="H2" i="4" a="1"/>
  <c r="P4" i="4"/>
  <c r="P5" i="4"/>
  <c r="P10" i="4"/>
  <c r="R10" i="4"/>
  <c r="P2" i="4"/>
  <c r="P3" i="4"/>
  <c r="P9" i="4"/>
  <c r="P7" i="4"/>
  <c r="P8" i="4"/>
  <c r="P6" i="4"/>
  <c r="J5" i="4"/>
  <c r="J7" i="4"/>
  <c r="J11" i="4"/>
  <c r="J2" i="4"/>
  <c r="J6" i="4"/>
  <c r="J8" i="4"/>
  <c r="J10" i="4"/>
  <c r="J9" i="4"/>
  <c r="J3" i="4"/>
  <c r="J4" i="4"/>
  <c r="H2" i="4"/>
  <c r="B2" i="4"/>
  <c r="D10" i="4"/>
  <c r="D2" i="4"/>
  <c r="D4" i="4"/>
  <c r="D7" i="4"/>
  <c r="D6" i="4"/>
  <c r="D9" i="4"/>
  <c r="D11" i="4"/>
  <c r="D3" i="4"/>
  <c r="D5" i="4"/>
  <c r="D8" i="4"/>
  <c r="R9" i="4"/>
  <c r="Q8" i="4"/>
  <c r="R7" i="4"/>
  <c r="Q3" i="4"/>
  <c r="Q6" i="4"/>
  <c r="R6" i="4"/>
  <c r="Q2" i="4"/>
  <c r="R2" i="4"/>
  <c r="R4" i="4"/>
  <c r="Q5" i="4"/>
  <c r="Q4" i="4"/>
  <c r="R5" i="4"/>
  <c r="R3" i="4"/>
  <c r="R8" i="4"/>
  <c r="Q7" i="4"/>
  <c r="F11" i="4"/>
  <c r="E4" i="4"/>
  <c r="F4" i="4"/>
  <c r="L10" i="4"/>
  <c r="K10" i="4"/>
  <c r="F8" i="4"/>
  <c r="E8" i="4"/>
  <c r="F2" i="4"/>
  <c r="E2" i="4"/>
  <c r="K8" i="4"/>
  <c r="L8" i="4"/>
  <c r="Q10" i="4"/>
  <c r="F3" i="4"/>
  <c r="E3" i="4"/>
  <c r="L2" i="4"/>
  <c r="K2" i="4"/>
  <c r="E10" i="4"/>
  <c r="F10" i="4"/>
  <c r="L6" i="4"/>
  <c r="K6" i="4"/>
  <c r="L11" i="4"/>
  <c r="K11" i="4"/>
  <c r="E7" i="4"/>
  <c r="F7" i="4"/>
  <c r="L9" i="4"/>
  <c r="K9" i="4"/>
  <c r="E5" i="4"/>
  <c r="F5" i="4"/>
  <c r="F9" i="4"/>
  <c r="E9" i="4"/>
  <c r="K4" i="4"/>
  <c r="L4" i="4"/>
  <c r="L7" i="4"/>
  <c r="K7" i="4"/>
  <c r="Q9" i="4"/>
  <c r="F6" i="4"/>
  <c r="E6" i="4"/>
  <c r="L3" i="4"/>
  <c r="K3" i="4"/>
  <c r="K5" i="4"/>
  <c r="L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<sst xmlns="http://schemas.openxmlformats.org/spreadsheetml/2006/main" count="215" uniqueCount="76">
  <si>
    <t>Team 1</t>
  </si>
  <si>
    <t>Hole Handicap</t>
  </si>
  <si>
    <t>Index</t>
  </si>
  <si>
    <t>Hole</t>
  </si>
  <si>
    <t>Team 2</t>
  </si>
  <si>
    <t>Team 3</t>
  </si>
  <si>
    <t>Team 4</t>
  </si>
  <si>
    <t>Team 5</t>
  </si>
  <si>
    <t>Todd Hubbard</t>
  </si>
  <si>
    <t>John Day</t>
  </si>
  <si>
    <t>Curt Balcerzak</t>
  </si>
  <si>
    <t>John Allen</t>
  </si>
  <si>
    <t>Jerry Ohu</t>
  </si>
  <si>
    <t>Ken Moon</t>
  </si>
  <si>
    <t>HI</t>
  </si>
  <si>
    <t>Team</t>
  </si>
  <si>
    <t>Player</t>
  </si>
  <si>
    <t>Course</t>
  </si>
  <si>
    <t>Men's Tee</t>
  </si>
  <si>
    <t>Men's Tee Slope</t>
  </si>
  <si>
    <t>Men's Tee Course Rating</t>
  </si>
  <si>
    <t>Women's Tee Slope</t>
  </si>
  <si>
    <t>Men's Par</t>
  </si>
  <si>
    <t>Women's Tee Course Rating</t>
  </si>
  <si>
    <t>Women's Tee Par</t>
  </si>
  <si>
    <t>Gender for Golf</t>
  </si>
  <si>
    <t>M</t>
  </si>
  <si>
    <t>Handicap Allowance</t>
  </si>
  <si>
    <t>Allowance</t>
  </si>
  <si>
    <t>Women's Tee</t>
  </si>
  <si>
    <t>Cream</t>
  </si>
  <si>
    <t>HCP</t>
  </si>
  <si>
    <t>Payouts</t>
  </si>
  <si>
    <t>Kitty</t>
  </si>
  <si>
    <t>Amount</t>
  </si>
  <si>
    <t>Best Ball Entry</t>
  </si>
  <si>
    <t>Travis Hubbard</t>
  </si>
  <si>
    <t>Patrick Calhoun</t>
  </si>
  <si>
    <t>Pom Moon</t>
  </si>
  <si>
    <t>Alex Freimuth</t>
  </si>
  <si>
    <t>Patrick Shin</t>
  </si>
  <si>
    <t>Jeff Mattingley</t>
  </si>
  <si>
    <t>Scott O'Hare</t>
  </si>
  <si>
    <t>John Bachman</t>
  </si>
  <si>
    <t>Jim Kellum</t>
  </si>
  <si>
    <t>Golf Paid</t>
  </si>
  <si>
    <t>Cart Paid</t>
  </si>
  <si>
    <t>Y</t>
  </si>
  <si>
    <t>Team 6</t>
  </si>
  <si>
    <t>Team 7</t>
  </si>
  <si>
    <t>Team 8</t>
  </si>
  <si>
    <t>Flying Hourse South</t>
  </si>
  <si>
    <t>Black</t>
  </si>
  <si>
    <t>Blue</t>
  </si>
  <si>
    <t>White</t>
  </si>
  <si>
    <t>Red</t>
  </si>
  <si>
    <t>Men's</t>
  </si>
  <si>
    <t>Women's</t>
  </si>
  <si>
    <t>Holes</t>
  </si>
  <si>
    <t>Handicap</t>
  </si>
  <si>
    <t>Par</t>
  </si>
  <si>
    <t>Total</t>
  </si>
  <si>
    <t>Tee</t>
  </si>
  <si>
    <t>Front</t>
  </si>
  <si>
    <t>Back</t>
  </si>
  <si>
    <t>2022 Flying Horse Four-Ball</t>
  </si>
  <si>
    <t>Max Index Allowed</t>
  </si>
  <si>
    <t>Prepaid</t>
  </si>
  <si>
    <t>Front 9</t>
  </si>
  <si>
    <t>Overall Place</t>
  </si>
  <si>
    <t>Front 9 Place</t>
  </si>
  <si>
    <t>Back 9 Place</t>
  </si>
  <si>
    <t>Back 9</t>
  </si>
  <si>
    <t>Overall</t>
  </si>
  <si>
    <t>Shawn Flynn</t>
  </si>
  <si>
    <t>Teams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</si>
</sst>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6">
    <xf numFmtId="0" fontId="0" fillId="0" borderId="0" xfId="0"/>
    <xf numFmtId="9" fontId="0" fillId="0" borderId="0" xfId="0" applyNumberFormat="1"/>
    <xf numFmtId="0" fontId="1" fillId="0" borderId="0" xfId="0" applyFont="1"/>
    <xf numFmtId="9" fontId="1" fillId="0" borderId="0" xfId="0" applyNumberFormat="1" applyFont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/>
    <xf numFmtId="6" fontId="0" fillId="0" borderId="0" xfId="0" applyNumberFormat="1"/>
    <xf numFmtId="0" fontId="0" fillId="0" borderId="0" xfId="0" applyAlignment="1">
      <alignment horizontal="left"/>
    </xf>
    <xf numFmtId="0" fontId="3" fillId="0" borderId="0" xfId="0" applyFont="1"/>
    <xf numFmtId="44" fontId="0" fillId="0" borderId="0" xfId="1" applyFont="1"/>
    <xf numFmtId="44" fontId="0" fillId="0" borderId="0" xfId="0" applyNumberFormat="1"/>
    <xf numFmtId="164" fontId="0" fillId="0" borderId="0" xfId="0" applyNumberFormat="1"/>
    <xf numFmtId="0" fontId="0" fillId="0" borderId="0" xfId="0" applyFont="1" applyAlignment="1">
      <alignment horizontal="left"/>
    </xf>
    <xf numFmtId="10" fontId="0" fillId="0" borderId="0" xfId="0" applyNumberForma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D941B-5DDC-4A97-B9AF-4A6C197B2961}">
  <sheetPr>
    <pageSetUpPr fitToPage="1"/>
  </sheetPr>
  <dimension ref="A1:V127"/>
  <sheetViews>
    <sheetView topLeftCell="P117" zoomScaleNormal="100" workbookViewId="0">
      <selection activeCell="T125" sqref="T125"/>
    </sheetView>
  </sheetViews>
  <sheetFormatPr defaultRowHeight="15" x14ac:dyDescent="0.2"/>
  <cols>
    <col min="1" max="1" width="29.45703125" customWidth="1"/>
    <col min="2" max="2" width="6.3203125" customWidth="1"/>
    <col min="3" max="3" width="7.12890625" bestFit="1" customWidth="1"/>
    <col min="4" max="21" width="5.6484375" customWidth="1"/>
    <col min="22" max="22" width="7.12890625" customWidth="1"/>
  </cols>
  <sheetData>
    <row r="1" spans="1:22" x14ac:dyDescent="0.2">
      <c r="A1" s="2" t="s">
        <v>65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5.75" customHeight="1" x14ac:dyDescent="0.2">
      <c r="A2" s="2"/>
      <c r="B2" s="2"/>
      <c r="C2" s="2"/>
      <c r="D2" s="4" t="s">
        <v>17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spans="1:22" ht="15.75" customHeight="1" x14ac:dyDescent="0.2">
      <c r="A3" s="2" t="s">
        <v>0</v>
      </c>
      <c r="B3" s="2" t="s">
        <v>62</v>
      </c>
      <c r="C3" s="2" t="s">
        <v>2</v>
      </c>
      <c r="D3" s="3" t="s">
        <v>31</v>
      </c>
      <c r="E3" s="4" t="s">
        <v>28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2" x14ac:dyDescent="0.2">
      <c r="A4" s="2" t="str" cm="1">
        <f t="array" ref="A4">INDEX(PlayerNames,SUMPRODUCT((PlayerTeamNo=VALUE(RIGHT(A3,1)))*(PlayerPlayerNo=1)*ROW(PlayerNames))-1)</f>
        <v>Todd Hubbard</v>
      </c>
      <c r="B4" s="2" t="str" cm="1">
        <f t="array" ref="B4">INDEX(PlayerTees,SUMPRODUCT((PlayerTeamNo=VALUE(RIGHT(A3,1)))*(PlayerPlayerNo=1)*ROW(PlayerTees))-1)</f>
        <v>White</v>
      </c>
      <c r="C4" s="2" cm="1">
        <f t="array" ref="C4">IF(MaxIndex &gt; 0,MIN(INDEX(PlayerHandicaps,SUMPRODUCT((PlayerTeamNo=VALUE(RIGHT(A3,1)))*(PlayerPlayerNo=1)*ROW(PlayerHandicaps))-1),MaxIndex),INDEX(PlayerHandicaps,SUMPRODUCT((PlayerTeamNo=VALUE(RIGHT(A3,1)))*(PlayerPlayerNo=1)*ROW(PlayerHandicaps))-1))</f>
        <v>41.8</v>
      </c>
      <c r="D4" s="2" cm="1">
        <f t="array" ref="D4">IF(C4="","",IF(C4=0,0,IF(INDEX(PlayerGender,SUMPRODUCT((PlayerTeamNo=VALUE(RIGHT(A3,1)))*(PlayerPlayerNo=1)*ROW(PlayerGender))-1)="M",ROUND((C4*(HLOOKUP(B4,MensTees,2,FALSE)/113))+(HLOOKUP(B4,MensTees,3,FALSE)-HLOOKUP(B4,MensTees,4,FALSE)),0),ROUND((C4*(HLOOKUP(B4,WomenTees,2,FALSE)/113))+(HLOOKUP(B4,WomenTees,3,FALSE)-HLOOKUP(B4,WomenTees,4,FALSE)),0))))</f>
        <v>39</v>
      </c>
      <c r="E4" s="2">
        <f>IF(A5 = "Solo",D4,ROUND(D4*HandicapAllowance,0))</f>
        <v>35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2" x14ac:dyDescent="0.2">
      <c r="A5" s="2" t="str" cm="1">
        <f t="array" ref="A5">IF(ISERROR(INDEX(PlayerNames,SUMPRODUCT((PlayerTeamNo=VALUE(RIGHT(A3,1)))*(PlayerPlayerNo=2)*ROW(PlayerNames))-1)),"Solo",INDEX(PlayerNames,SUMPRODUCT((PlayerTeamNo=VALUE(RIGHT(A3,1)))*(PlayerPlayerNo=2)*ROW(PlayerNames))-1))</f>
        <v>Travis Hubbard</v>
      </c>
      <c r="B5" s="2" t="str" cm="1">
        <f t="array" ref="B5">IF(A5&lt;&gt;"Solo",INDEX(PlayerTees,SUMPRODUCT((PlayerTeamNo=VALUE(RIGHT(A3,1)))*(PlayerPlayerNo=2)*ROW(PlayerTees))-1),"")</f>
        <v>Blue</v>
      </c>
      <c r="C5" s="2" cm="1">
        <f t="array" ref="C5">IF(A5 &lt;&gt; "Solo",IF(MaxIndex &gt; 0,MIN(INDEX(PlayerHandicaps,SUMPRODUCT((PlayerTeamNo=VALUE(RIGHT(A3,1)))*(PlayerPlayerNo=2)*ROW(PlayerHandicaps))-1),MaxIndex),INDEX(PlayerHandicaps,SUMPRODUCT((PlayerTeamNo=VALUE(RIGHT(A3,1)))*(PlayerPlayerNo=2)*ROW(PlayerHandicaps))-1)),"")</f>
        <v>25</v>
      </c>
      <c r="D5" s="2" cm="1">
        <f t="array" ref="D5">IF(C5="","",IF(C5=0,0,IF(INDEX(PlayerGender,SUMPRODUCT((PlayerTeamNo=VALUE(RIGHT(A3,1)))*(PlayerPlayerNo=2)*ROW(PlayerGender))-1)="M",ROUND((C5*(HLOOKUP(B5,MensTees,2,FALSE)/113))+(HLOOKUP(B5,MensTees,3,FALSE)-HLOOKUP(B5,MensTees,4,FALSE)),0),ROUND((C5*(HLOOKUP(B5,WomenTees,2,FALSE)/113))+(HLOOKUP(B5,WomenTees,3,FALSE)-HLOOKUP(B5,WomenTees,4,FALSE)),0))))</f>
        <v>25</v>
      </c>
      <c r="E5" s="2">
        <f>IF(A5 &lt;&gt; "Solo",ROUND(D5*HandicapAllowance,0),"")</f>
        <v>23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x14ac:dyDescent="0.2">
      <c r="A6" s="2" t="s">
        <v>3</v>
      </c>
      <c r="B6" s="5">
        <v>1</v>
      </c>
      <c r="C6" s="5">
        <v>2</v>
      </c>
      <c r="D6" s="5">
        <v>3</v>
      </c>
      <c r="E6" s="5">
        <v>4</v>
      </c>
      <c r="F6" s="5">
        <v>5</v>
      </c>
      <c r="G6" s="5">
        <v>6</v>
      </c>
      <c r="H6" s="5">
        <v>7</v>
      </c>
      <c r="I6" s="5">
        <v>8</v>
      </c>
      <c r="J6" s="5">
        <v>9</v>
      </c>
      <c r="K6" s="5"/>
      <c r="L6" s="5">
        <v>10</v>
      </c>
      <c r="M6" s="5">
        <v>11</v>
      </c>
      <c r="N6" s="5">
        <v>12</v>
      </c>
      <c r="O6" s="5">
        <v>13</v>
      </c>
      <c r="P6" s="5">
        <v>14</v>
      </c>
      <c r="Q6" s="5">
        <v>15</v>
      </c>
      <c r="R6" s="5">
        <v>16</v>
      </c>
      <c r="S6" s="5">
        <v>17</v>
      </c>
      <c r="T6" s="5">
        <v>18</v>
      </c>
      <c r="U6" s="5"/>
      <c r="V6" s="2"/>
    </row>
    <row r="7" spans="1:22" x14ac:dyDescent="0.2">
      <c r="A7" s="2" t="s">
        <v>60</v>
      </c>
      <c r="B7" s="6" cm="1">
        <f t="array" ref="B7">INDEX(HoleParM,B6,0)</f>
        <v>4</v>
      </c>
      <c r="C7" s="6" cm="1">
        <f t="array" ref="C7">INDEX(HoleParM,C6,0)</f>
        <v>3</v>
      </c>
      <c r="D7" s="6" cm="1">
        <f t="array" ref="D7">INDEX(HoleParM,D6,0)</f>
        <v>5</v>
      </c>
      <c r="E7" s="6" cm="1">
        <f t="array" ref="E7">INDEX(HoleParM,E6,0)</f>
        <v>4</v>
      </c>
      <c r="F7" s="6" cm="1">
        <f t="array" ref="F7">INDEX(HoleParM,F6,0)</f>
        <v>4</v>
      </c>
      <c r="G7" s="6" cm="1">
        <f t="array" ref="G7">INDEX(HoleParM,G6,0)</f>
        <v>4</v>
      </c>
      <c r="H7" s="6" cm="1">
        <f t="array" ref="H7">INDEX(HoleParM,H6,0)</f>
        <v>3</v>
      </c>
      <c r="I7" s="6" cm="1">
        <f t="array" ref="I7">INDEX(HoleParM,I6,0)</f>
        <v>5</v>
      </c>
      <c r="J7" s="6" cm="1">
        <f t="array" ref="J7">INDEX(HoleParM,J6,0)</f>
        <v>4</v>
      </c>
      <c r="K7" s="7">
        <f>IF(SUM(B7:J7)&gt;0,SUM(B7:J7),"")</f>
        <v>36</v>
      </c>
      <c r="L7" s="6" cm="1">
        <f t="array" ref="L7">INDEX(HoleParM,L6,0)</f>
        <v>5</v>
      </c>
      <c r="M7" s="6" cm="1">
        <f t="array" ref="M7">INDEX(HoleParM,M6,0)</f>
        <v>4</v>
      </c>
      <c r="N7" s="6" cm="1">
        <f t="array" ref="N7">INDEX(HoleParM,N6,0)</f>
        <v>5</v>
      </c>
      <c r="O7" s="6" cm="1">
        <f t="array" ref="O7">INDEX(HoleParM,O6,0)</f>
        <v>3</v>
      </c>
      <c r="P7" s="6" cm="1">
        <f t="array" ref="P7">INDEX(HoleParM,P6,0)</f>
        <v>4</v>
      </c>
      <c r="Q7" s="6" cm="1">
        <f t="array" ref="Q7">INDEX(HoleParM,Q6,0)</f>
        <v>4</v>
      </c>
      <c r="R7" s="6" cm="1">
        <f t="array" ref="R7">INDEX(HoleParM,R6,0)</f>
        <v>3</v>
      </c>
      <c r="S7" s="6" cm="1">
        <f t="array" ref="S7">INDEX(HoleParM,S6,0)</f>
        <v>4</v>
      </c>
      <c r="T7" s="6" cm="1">
        <f t="array" ref="T7">INDEX(HoleParM,T6,0)</f>
        <v>4</v>
      </c>
      <c r="U7" s="7">
        <f>IF(SUM(L7:T7)&gt;0,SUM(L7:T7),"")</f>
        <v>36</v>
      </c>
      <c r="V7" s="7">
        <f>IF((SUM(B7:J7)+SUM(L7:T7))&gt;0,SUM(B7:J7)+SUM(L7:T7),"")</f>
        <v>72</v>
      </c>
    </row>
    <row r="8" spans="1:22" x14ac:dyDescent="0.2">
      <c r="A8" s="2" t="s">
        <v>1</v>
      </c>
      <c r="B8" s="6" cm="1">
        <f t="array" ref="B8">INDEX(HoleHandicapM,B6,0)</f>
        <v>11</v>
      </c>
      <c r="C8" s="6" cm="1">
        <f t="array" ref="C8">INDEX(HoleHandicapM,C6,0)</f>
        <v>17</v>
      </c>
      <c r="D8" s="6" cm="1">
        <f t="array" ref="D8">INDEX(HoleHandicapM,D6,0)</f>
        <v>3</v>
      </c>
      <c r="E8" s="6" cm="1">
        <f t="array" ref="E8">INDEX(HoleHandicapM,E6,0)</f>
        <v>5</v>
      </c>
      <c r="F8" s="6" cm="1">
        <f t="array" ref="F8">INDEX(HoleHandicapM,F6,0)</f>
        <v>7</v>
      </c>
      <c r="G8" s="6" cm="1">
        <f t="array" ref="G8">INDEX(HoleHandicapM,G6,0)</f>
        <v>9</v>
      </c>
      <c r="H8" s="6" cm="1">
        <f t="array" ref="H8">INDEX(HoleHandicapM,H6,0)</f>
        <v>15</v>
      </c>
      <c r="I8" s="6" cm="1">
        <f t="array" ref="I8">INDEX(HoleHandicapM,I6,0)</f>
        <v>1</v>
      </c>
      <c r="J8" s="6" cm="1">
        <f t="array" ref="J8">INDEX(HoleHandicapM,J6,0)</f>
        <v>13</v>
      </c>
      <c r="K8" s="6" t="s">
        <v>63</v>
      </c>
      <c r="L8" s="6" cm="1">
        <f t="array" ref="L8">INDEX(HoleHandicapM,L6,0)</f>
        <v>4</v>
      </c>
      <c r="M8" s="6" cm="1">
        <f t="array" ref="M8">INDEX(HoleHandicapM,M6,0)</f>
        <v>18</v>
      </c>
      <c r="N8" s="6" cm="1">
        <f t="array" ref="N8">INDEX(HoleHandicapM,N6,0)</f>
        <v>10</v>
      </c>
      <c r="O8" s="6" cm="1">
        <f t="array" ref="O8">INDEX(HoleHandicapM,O6,0)</f>
        <v>12</v>
      </c>
      <c r="P8" s="6" cm="1">
        <f t="array" ref="P8">INDEX(HoleHandicapM,P6,0)</f>
        <v>2</v>
      </c>
      <c r="Q8" s="6" cm="1">
        <f t="array" ref="Q8">INDEX(HoleHandicapM,Q6,0)</f>
        <v>8</v>
      </c>
      <c r="R8" s="6" cm="1">
        <f t="array" ref="R8">INDEX(HoleHandicapM,R6,0)</f>
        <v>14</v>
      </c>
      <c r="S8" s="6" cm="1">
        <f t="array" ref="S8">INDEX(HoleHandicapM,S6,0)</f>
        <v>16</v>
      </c>
      <c r="T8" s="6" cm="1">
        <f t="array" ref="T8">INDEX(HoleHandicapM,T6,0)</f>
        <v>6</v>
      </c>
      <c r="U8" s="6" t="s">
        <v>64</v>
      </c>
      <c r="V8" s="2" t="s">
        <v>61</v>
      </c>
    </row>
    <row r="9" spans="1:22" x14ac:dyDescent="0.2">
      <c r="A9" s="2" t="str">
        <f>CONCATENATE(A4, " Gross")</f>
        <v>Todd Hubbard Gross</v>
      </c>
      <c r="B9" s="7">
        <v>7</v>
      </c>
      <c r="C9" s="7">
        <v>6</v>
      </c>
      <c r="D9" s="7">
        <v>6</v>
      </c>
      <c r="E9" s="7">
        <v>6</v>
      </c>
      <c r="F9" s="7">
        <v>6</v>
      </c>
      <c r="G9" s="7">
        <v>6</v>
      </c>
      <c r="H9" s="7">
        <v>7</v>
      </c>
      <c r="I9" s="7">
        <v>8</v>
      </c>
      <c r="J9" s="7">
        <v>6</v>
      </c>
      <c r="K9" s="7">
        <f t="shared" ref="K9:K15" si="0">IF(OR(ISBLANK(B9),B9=""),"",SUM(B9:J9))</f>
        <v>58</v>
      </c>
      <c r="L9" s="7">
        <v>7</v>
      </c>
      <c r="M9" s="7">
        <v>7</v>
      </c>
      <c r="N9" s="7">
        <v>5</v>
      </c>
      <c r="O9" s="7">
        <v>4</v>
      </c>
      <c r="P9" s="7">
        <v>8</v>
      </c>
      <c r="Q9" s="7">
        <v>8</v>
      </c>
      <c r="R9" s="7">
        <v>7</v>
      </c>
      <c r="S9" s="7">
        <v>8</v>
      </c>
      <c r="T9" s="7">
        <v>7</v>
      </c>
      <c r="U9" s="7">
        <f t="shared" ref="U9:U15" si="1">IF(OR(ISBLANK(L9),L9=""),"",SUM(L9:T9))</f>
        <v>61</v>
      </c>
      <c r="V9" s="7">
        <f t="shared" ref="V9:V15" si="2">IF(OR(ISBLANK(B9),B9=""),"",SUM(B9:J9)+SUM(L9:T9))</f>
        <v>119</v>
      </c>
    </row>
    <row r="10" spans="1:22" x14ac:dyDescent="0.2">
      <c r="A10" s="2" t="str">
        <f>CONCATENATE(A4, " Handicap Strokes")</f>
        <v>Todd Hubbard Handicap Strokes</v>
      </c>
      <c r="B10" s="7">
        <f t="shared" ref="B10:T10" si="3">ROUNDDOWN($E4/18,0)+IF(MOD($E4,18)&gt;=B8,1,0)</f>
        <v>2</v>
      </c>
      <c r="C10" s="7">
        <f t="shared" si="3"/>
        <v>2</v>
      </c>
      <c r="D10" s="7">
        <f t="shared" si="3"/>
        <v>2</v>
      </c>
      <c r="E10" s="7">
        <f t="shared" si="3"/>
        <v>2</v>
      </c>
      <c r="F10" s="7">
        <f t="shared" si="3"/>
        <v>2</v>
      </c>
      <c r="G10" s="7">
        <f t="shared" si="3"/>
        <v>2</v>
      </c>
      <c r="H10" s="7">
        <f t="shared" si="3"/>
        <v>2</v>
      </c>
      <c r="I10" s="7">
        <f t="shared" si="3"/>
        <v>2</v>
      </c>
      <c r="J10" s="7">
        <f t="shared" si="3"/>
        <v>2</v>
      </c>
      <c r="K10" s="7">
        <f t="shared" si="0"/>
        <v>18</v>
      </c>
      <c r="L10" s="7">
        <f t="shared" si="3"/>
        <v>2</v>
      </c>
      <c r="M10" s="7">
        <f t="shared" si="3"/>
        <v>1</v>
      </c>
      <c r="N10" s="7">
        <f t="shared" si="3"/>
        <v>2</v>
      </c>
      <c r="O10" s="7">
        <f t="shared" si="3"/>
        <v>2</v>
      </c>
      <c r="P10" s="7">
        <f t="shared" si="3"/>
        <v>2</v>
      </c>
      <c r="Q10" s="7">
        <f t="shared" si="3"/>
        <v>2</v>
      </c>
      <c r="R10" s="7">
        <f t="shared" si="3"/>
        <v>2</v>
      </c>
      <c r="S10" s="7">
        <f t="shared" si="3"/>
        <v>2</v>
      </c>
      <c r="T10" s="7">
        <f t="shared" si="3"/>
        <v>2</v>
      </c>
      <c r="U10" s="7">
        <f t="shared" si="1"/>
        <v>17</v>
      </c>
      <c r="V10" s="7">
        <f t="shared" si="2"/>
        <v>35</v>
      </c>
    </row>
    <row r="11" spans="1:22" x14ac:dyDescent="0.2">
      <c r="A11" s="2" t="str">
        <f>CONCATENATE(A4, " Net (Gross - HCP)")</f>
        <v>Todd Hubbard Net (Gross - HCP)</v>
      </c>
      <c r="B11" s="7">
        <f t="shared" ref="B11" si="4">IF(B9-B10&gt;0,B9-B10,"")</f>
        <v>5</v>
      </c>
      <c r="C11" s="7">
        <f t="shared" ref="C11" si="5">IF(C9-C10&gt;0,C9-C10,"")</f>
        <v>4</v>
      </c>
      <c r="D11" s="7">
        <f t="shared" ref="D11" si="6">IF(D9-D10&gt;0,D9-D10,"")</f>
        <v>4</v>
      </c>
      <c r="E11" s="7">
        <f t="shared" ref="E11" si="7">IF(E9-E10&gt;0,E9-E10,"")</f>
        <v>4</v>
      </c>
      <c r="F11" s="7">
        <f t="shared" ref="F11" si="8">IF(F9-F10&gt;0,F9-F10,"")</f>
        <v>4</v>
      </c>
      <c r="G11" s="7">
        <f t="shared" ref="G11" si="9">IF(G9-G10&gt;0,G9-G10,"")</f>
        <v>4</v>
      </c>
      <c r="H11" s="7">
        <f t="shared" ref="H11" si="10">IF(H9-H10&gt;0,H9-H10,"")</f>
        <v>5</v>
      </c>
      <c r="I11" s="7">
        <f t="shared" ref="I11" si="11">IF(I9-I10&gt;0,I9-I10,"")</f>
        <v>6</v>
      </c>
      <c r="J11" s="7">
        <f t="shared" ref="J11" si="12">IF(J9-J10&gt;0,J9-J10,"")</f>
        <v>4</v>
      </c>
      <c r="K11" s="7">
        <f t="shared" si="0"/>
        <v>40</v>
      </c>
      <c r="L11" s="7">
        <f t="shared" ref="L11" si="13">IF(L9-L10&gt;0,L9-L10,"")</f>
        <v>5</v>
      </c>
      <c r="M11" s="7">
        <f t="shared" ref="M11" si="14">IF(M9-M10&gt;0,M9-M10,"")</f>
        <v>6</v>
      </c>
      <c r="N11" s="7">
        <f t="shared" ref="N11" si="15">IF(N9-N10&gt;0,N9-N10,"")</f>
        <v>3</v>
      </c>
      <c r="O11" s="7">
        <f t="shared" ref="O11" si="16">IF(O9-O10&gt;0,O9-O10,"")</f>
        <v>2</v>
      </c>
      <c r="P11" s="7">
        <f t="shared" ref="P11" si="17">IF(P9-P10&gt;0,P9-P10,"")</f>
        <v>6</v>
      </c>
      <c r="Q11" s="7">
        <f t="shared" ref="Q11" si="18">IF(Q9-Q10&gt;0,Q9-Q10,"")</f>
        <v>6</v>
      </c>
      <c r="R11" s="7">
        <f t="shared" ref="R11" si="19">IF(R9-R10&gt;0,R9-R10,"")</f>
        <v>5</v>
      </c>
      <c r="S11" s="7">
        <f t="shared" ref="S11" si="20">IF(S9-S10&gt;0,S9-S10,"")</f>
        <v>6</v>
      </c>
      <c r="T11" s="7">
        <f t="shared" ref="T11" si="21">IF(T9-T10&gt;0,T9-T10,"")</f>
        <v>5</v>
      </c>
      <c r="U11" s="7">
        <f t="shared" si="1"/>
        <v>44</v>
      </c>
      <c r="V11" s="7">
        <f t="shared" si="2"/>
        <v>84</v>
      </c>
    </row>
    <row r="12" spans="1:22" x14ac:dyDescent="0.2">
      <c r="A12" s="2" t="str">
        <f>IF(A5 &lt;&gt; "Solo",CONCATENATE(A5, " Gross"),"")</f>
        <v>Travis Hubbard Gross</v>
      </c>
      <c r="B12" s="7">
        <v>6</v>
      </c>
      <c r="C12" s="7">
        <v>4</v>
      </c>
      <c r="D12" s="7">
        <v>8</v>
      </c>
      <c r="E12" s="7">
        <v>5</v>
      </c>
      <c r="F12" s="7">
        <v>6</v>
      </c>
      <c r="G12" s="7">
        <v>4</v>
      </c>
      <c r="H12" s="7">
        <v>4</v>
      </c>
      <c r="I12" s="7">
        <v>5</v>
      </c>
      <c r="J12" s="7">
        <v>5</v>
      </c>
      <c r="K12" s="7">
        <f t="shared" si="0"/>
        <v>47</v>
      </c>
      <c r="L12" s="7">
        <v>6</v>
      </c>
      <c r="M12" s="7">
        <v>5</v>
      </c>
      <c r="N12" s="7">
        <v>8</v>
      </c>
      <c r="O12" s="7">
        <v>4</v>
      </c>
      <c r="P12" s="7">
        <v>6</v>
      </c>
      <c r="Q12" s="7">
        <v>5</v>
      </c>
      <c r="R12" s="7">
        <v>5</v>
      </c>
      <c r="S12" s="7">
        <v>6</v>
      </c>
      <c r="T12" s="7">
        <v>6</v>
      </c>
      <c r="U12" s="7">
        <f t="shared" si="1"/>
        <v>51</v>
      </c>
      <c r="V12" s="7">
        <f t="shared" si="2"/>
        <v>98</v>
      </c>
    </row>
    <row r="13" spans="1:22" x14ac:dyDescent="0.2">
      <c r="A13" s="2" t="str">
        <f>IF(A5 &lt;&gt; "Solo",CONCATENATE(A5, " Handicap Strokes"),"")</f>
        <v>Travis Hubbard Handicap Strokes</v>
      </c>
      <c r="B13" s="7">
        <f>IF($A5 &lt;&gt; "Solo",ROUNDDOWN($E5/18,0)+IF(MOD($E5,18)&gt;=B8,1,0),"")</f>
        <v>1</v>
      </c>
      <c r="C13" s="7">
        <f t="shared" ref="C13:J13" si="22">IF($A5 &lt;&gt; "Solo",ROUNDDOWN($E5/18,0)+IF(MOD($E5,18)&gt;=C8,1,0),"")</f>
        <v>1</v>
      </c>
      <c r="D13" s="7">
        <f t="shared" si="22"/>
        <v>2</v>
      </c>
      <c r="E13" s="7">
        <f t="shared" si="22"/>
        <v>2</v>
      </c>
      <c r="F13" s="7">
        <f t="shared" si="22"/>
        <v>1</v>
      </c>
      <c r="G13" s="7">
        <f t="shared" si="22"/>
        <v>1</v>
      </c>
      <c r="H13" s="7">
        <f t="shared" si="22"/>
        <v>1</v>
      </c>
      <c r="I13" s="7">
        <f t="shared" si="22"/>
        <v>2</v>
      </c>
      <c r="J13" s="7">
        <f t="shared" si="22"/>
        <v>1</v>
      </c>
      <c r="K13" s="7">
        <f t="shared" si="0"/>
        <v>12</v>
      </c>
      <c r="L13" s="7">
        <f t="shared" ref="L13:T13" si="23">IF($A5 &lt;&gt; "Solo",ROUNDDOWN($E5/18,0)+IF(MOD($E5,18)&gt;=L8,1,0),"")</f>
        <v>2</v>
      </c>
      <c r="M13" s="7">
        <f t="shared" si="23"/>
        <v>1</v>
      </c>
      <c r="N13" s="7">
        <f t="shared" si="23"/>
        <v>1</v>
      </c>
      <c r="O13" s="7">
        <f t="shared" si="23"/>
        <v>1</v>
      </c>
      <c r="P13" s="7">
        <f t="shared" si="23"/>
        <v>2</v>
      </c>
      <c r="Q13" s="7">
        <f t="shared" si="23"/>
        <v>1</v>
      </c>
      <c r="R13" s="7">
        <f t="shared" si="23"/>
        <v>1</v>
      </c>
      <c r="S13" s="7">
        <f t="shared" si="23"/>
        <v>1</v>
      </c>
      <c r="T13" s="7">
        <f t="shared" si="23"/>
        <v>1</v>
      </c>
      <c r="U13" s="7">
        <f t="shared" si="1"/>
        <v>11</v>
      </c>
      <c r="V13" s="7">
        <f t="shared" si="2"/>
        <v>23</v>
      </c>
    </row>
    <row r="14" spans="1:22" x14ac:dyDescent="0.2">
      <c r="A14" s="2" t="str">
        <f>IF(A5 &lt;&gt; "Solo",CONCATENATE(A5, " Net (Gross - HCP)"),"")</f>
        <v>Travis Hubbard Net (Gross - HCP)</v>
      </c>
      <c r="B14" s="7">
        <f t="shared" ref="B14:J14" si="24">IF($A5 &lt;&gt; "Solo",IF(B12-B13&gt;0,B12-B13,""),"")</f>
        <v>5</v>
      </c>
      <c r="C14" s="7">
        <f t="shared" si="24"/>
        <v>3</v>
      </c>
      <c r="D14" s="7">
        <f t="shared" si="24"/>
        <v>6</v>
      </c>
      <c r="E14" s="7">
        <f t="shared" si="24"/>
        <v>3</v>
      </c>
      <c r="F14" s="7">
        <f t="shared" si="24"/>
        <v>5</v>
      </c>
      <c r="G14" s="7">
        <f t="shared" si="24"/>
        <v>3</v>
      </c>
      <c r="H14" s="7">
        <f t="shared" si="24"/>
        <v>3</v>
      </c>
      <c r="I14" s="7">
        <f t="shared" si="24"/>
        <v>3</v>
      </c>
      <c r="J14" s="7">
        <f t="shared" si="24"/>
        <v>4</v>
      </c>
      <c r="K14" s="7">
        <f t="shared" si="0"/>
        <v>35</v>
      </c>
      <c r="L14" s="7">
        <f t="shared" ref="L14:T14" si="25">IF($A5 &lt;&gt; "Solo",IF(L12-L13&gt;0,L12-L13,""),"")</f>
        <v>4</v>
      </c>
      <c r="M14" s="7">
        <f t="shared" si="25"/>
        <v>4</v>
      </c>
      <c r="N14" s="7">
        <f t="shared" si="25"/>
        <v>7</v>
      </c>
      <c r="O14" s="7">
        <f t="shared" si="25"/>
        <v>3</v>
      </c>
      <c r="P14" s="7">
        <f t="shared" si="25"/>
        <v>4</v>
      </c>
      <c r="Q14" s="7">
        <f t="shared" si="25"/>
        <v>4</v>
      </c>
      <c r="R14" s="7">
        <f t="shared" si="25"/>
        <v>4</v>
      </c>
      <c r="S14" s="7">
        <f t="shared" si="25"/>
        <v>5</v>
      </c>
      <c r="T14" s="7">
        <f t="shared" si="25"/>
        <v>5</v>
      </c>
      <c r="U14" s="7">
        <f t="shared" si="1"/>
        <v>40</v>
      </c>
      <c r="V14" s="7">
        <f t="shared" si="2"/>
        <v>75</v>
      </c>
    </row>
    <row r="15" spans="1:22" x14ac:dyDescent="0.2">
      <c r="A15" s="2" t="str">
        <f>CONCATENATE(A3, " Best Ball")</f>
        <v>Team 1 Best Ball</v>
      </c>
      <c r="B15" s="7">
        <f>IF(AND(ISBLANK(B9), ISBLANK(B12)),"",MIN(B11,B14))</f>
        <v>5</v>
      </c>
      <c r="C15" s="7">
        <f t="shared" ref="C15:J15" si="26">IF(AND(ISBLANK(C9), ISBLANK(C12)),"",MIN(C11,C14))</f>
        <v>3</v>
      </c>
      <c r="D15" s="7">
        <f t="shared" si="26"/>
        <v>4</v>
      </c>
      <c r="E15" s="7">
        <f t="shared" si="26"/>
        <v>3</v>
      </c>
      <c r="F15" s="7">
        <f t="shared" si="26"/>
        <v>4</v>
      </c>
      <c r="G15" s="7">
        <f t="shared" si="26"/>
        <v>3</v>
      </c>
      <c r="H15" s="7">
        <f t="shared" si="26"/>
        <v>3</v>
      </c>
      <c r="I15" s="7">
        <f t="shared" si="26"/>
        <v>3</v>
      </c>
      <c r="J15" s="7">
        <f t="shared" si="26"/>
        <v>4</v>
      </c>
      <c r="K15" s="7">
        <f t="shared" si="0"/>
        <v>32</v>
      </c>
      <c r="L15" s="7">
        <f t="shared" ref="L15:T15" si="27">IF(AND(ISBLANK(L9), ISBLANK(L12)),"",MIN(L11,L14))</f>
        <v>4</v>
      </c>
      <c r="M15" s="7">
        <f t="shared" si="27"/>
        <v>4</v>
      </c>
      <c r="N15" s="7">
        <f t="shared" si="27"/>
        <v>3</v>
      </c>
      <c r="O15" s="7">
        <f t="shared" si="27"/>
        <v>2</v>
      </c>
      <c r="P15" s="7">
        <f t="shared" si="27"/>
        <v>4</v>
      </c>
      <c r="Q15" s="7">
        <f t="shared" si="27"/>
        <v>4</v>
      </c>
      <c r="R15" s="7">
        <f t="shared" si="27"/>
        <v>4</v>
      </c>
      <c r="S15" s="7">
        <f t="shared" si="27"/>
        <v>5</v>
      </c>
      <c r="T15" s="7">
        <f t="shared" si="27"/>
        <v>5</v>
      </c>
      <c r="U15" s="7">
        <f t="shared" si="1"/>
        <v>35</v>
      </c>
      <c r="V15" s="7">
        <f t="shared" si="2"/>
        <v>67</v>
      </c>
    </row>
    <row r="16" spans="1:22" x14ac:dyDescent="0.2">
      <c r="A16" s="2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</row>
    <row r="17" spans="1:22" x14ac:dyDescent="0.2">
      <c r="A17" s="2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</row>
    <row r="18" spans="1:22" x14ac:dyDescent="0.2">
      <c r="A18" s="2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1:22" ht="15.75" customHeight="1" x14ac:dyDescent="0.2">
      <c r="A19" s="2"/>
      <c r="B19" s="2"/>
      <c r="C19" s="2"/>
      <c r="D19" s="4" t="s">
        <v>17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ht="15.75" customHeight="1" x14ac:dyDescent="0.2">
      <c r="A20" s="2" t="s">
        <v>4</v>
      </c>
      <c r="B20" s="2" t="s">
        <v>62</v>
      </c>
      <c r="C20" s="2" t="s">
        <v>2</v>
      </c>
      <c r="D20" s="3" t="s">
        <v>31</v>
      </c>
      <c r="E20" s="4" t="s">
        <v>28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x14ac:dyDescent="0.2">
      <c r="A21" s="2" t="str" cm="1">
        <f t="array" ref="A21">INDEX(PlayerNames,SUMPRODUCT((PlayerTeamNo=VALUE(RIGHT(A20,1)))*(PlayerPlayerNo=1)*ROW(PlayerNames))-1)</f>
        <v>John Allen</v>
      </c>
      <c r="B21" s="2" t="str" cm="1">
        <f t="array" ref="B21">INDEX(PlayerTees,SUMPRODUCT((PlayerTeamNo=VALUE(RIGHT(A20,1)))*(PlayerPlayerNo=1)*ROW(PlayerTees))-1)</f>
        <v>Blue</v>
      </c>
      <c r="C21" s="2" cm="1">
        <f t="array" ref="C21">IF(MaxIndex &gt; 0,MIN(INDEX(PlayerHandicaps,SUMPRODUCT((PlayerTeamNo=VALUE(RIGHT(A20,1)))*(PlayerPlayerNo=1)*ROW(PlayerHandicaps))-1),MaxIndex),INDEX(PlayerHandicaps,SUMPRODUCT((PlayerTeamNo=VALUE(RIGHT(A20,1)))*(PlayerPlayerNo=1)*ROW(PlayerHandicaps))-1))</f>
        <v>27.9</v>
      </c>
      <c r="D21" s="2" cm="1">
        <f t="array" ref="D21">IF(C21="","",IF(C21=0,0,IF(INDEX(PlayerGender,SUMPRODUCT((PlayerTeamNo=VALUE(RIGHT(A20,1)))*(PlayerPlayerNo=1)*ROW(PlayerGender))-1)="M",ROUND((C21*(HLOOKUP(B21,MensTees,2,FALSE)/113))+(HLOOKUP(B21,MensTees,3,FALSE)-HLOOKUP(B21,MensTees,4,FALSE)),0),ROUND((C21*(HLOOKUP(B21,WomenTees,2,FALSE)/113))+(HLOOKUP(B21,WomenTees,3,FALSE)-HLOOKUP(B21,WomenTees,4,FALSE)),0))))</f>
        <v>29</v>
      </c>
      <c r="E21" s="2">
        <f>IF(A22 = "Solo",D21,ROUND(D21*HandicapAllowance,0))</f>
        <v>26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x14ac:dyDescent="0.2">
      <c r="A22" s="2" t="str" cm="1">
        <f t="array" ref="A22">IF(ISERROR(INDEX(PlayerNames,SUMPRODUCT((PlayerTeamNo=VALUE(RIGHT(A20,1)))*(PlayerPlayerNo=2)*ROW(PlayerNames))-1)),"Solo",INDEX(PlayerNames,SUMPRODUCT((PlayerTeamNo=VALUE(RIGHT(A20,1)))*(PlayerPlayerNo=2)*ROW(PlayerNames))-1))</f>
        <v>Patrick Calhoun</v>
      </c>
      <c r="B22" s="2" t="str" cm="1">
        <f t="array" ref="B22">IF(A22&lt;&gt;"Solo",INDEX(PlayerTees,SUMPRODUCT((PlayerTeamNo=VALUE(RIGHT(A20,1)))*(PlayerPlayerNo=2)*ROW(PlayerTees))-1),"")</f>
        <v>Black</v>
      </c>
      <c r="C22" s="2" cm="1">
        <f t="array" ref="C22">IF(A22 &lt;&gt; "Solo",IF(MaxIndex &gt; 0,MIN(INDEX(PlayerHandicaps,SUMPRODUCT((PlayerTeamNo=VALUE(RIGHT(A20,1)))*(PlayerPlayerNo=2)*ROW(PlayerHandicaps))-1),MaxIndex),INDEX(PlayerHandicaps,SUMPRODUCT((PlayerTeamNo=VALUE(RIGHT(A20,1)))*(PlayerPlayerNo=2)*ROW(PlayerHandicaps))-1)),"")</f>
        <v>4.5999999999999996</v>
      </c>
      <c r="D22" s="2" cm="1">
        <f t="array" ref="D22">IF(C22="","",IF(C22=0,0,IF(INDEX(PlayerGender,SUMPRODUCT((PlayerTeamNo=VALUE(RIGHT(A20,1)))*(PlayerPlayerNo=2)*ROW(PlayerGender))-1)="M",ROUND((C22*(HLOOKUP(B22,MensTees,2,FALSE)/113))+(HLOOKUP(B22,MensTees,3,FALSE)-HLOOKUP(B22,MensTees,4,FALSE)),0),ROUND((C22*(HLOOKUP(B22,WomenTees,2,FALSE)/113))+(HLOOKUP(B22,WomenTees,3,FALSE)-HLOOKUP(B22,WomenTees,4,FALSE)),0))))</f>
        <v>4</v>
      </c>
      <c r="E22" s="2">
        <f>IF(A22 &lt;&gt; "Solo",ROUND(D22*HandicapAllowance,0),"")</f>
        <v>4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x14ac:dyDescent="0.2">
      <c r="A23" s="2" t="s">
        <v>3</v>
      </c>
      <c r="B23" s="5">
        <v>1</v>
      </c>
      <c r="C23" s="5">
        <v>2</v>
      </c>
      <c r="D23" s="5">
        <v>3</v>
      </c>
      <c r="E23" s="5">
        <v>4</v>
      </c>
      <c r="F23" s="5">
        <v>5</v>
      </c>
      <c r="G23" s="5">
        <v>6</v>
      </c>
      <c r="H23" s="5">
        <v>7</v>
      </c>
      <c r="I23" s="5">
        <v>8</v>
      </c>
      <c r="J23" s="5">
        <v>9</v>
      </c>
      <c r="K23" s="5"/>
      <c r="L23" s="5">
        <v>10</v>
      </c>
      <c r="M23" s="5">
        <v>11</v>
      </c>
      <c r="N23" s="5">
        <v>12</v>
      </c>
      <c r="O23" s="5">
        <v>13</v>
      </c>
      <c r="P23" s="5">
        <v>14</v>
      </c>
      <c r="Q23" s="5">
        <v>15</v>
      </c>
      <c r="R23" s="5">
        <v>16</v>
      </c>
      <c r="S23" s="5">
        <v>17</v>
      </c>
      <c r="T23" s="5">
        <v>18</v>
      </c>
      <c r="U23" s="5"/>
      <c r="V23" s="2"/>
    </row>
    <row r="24" spans="1:22" x14ac:dyDescent="0.2">
      <c r="A24" s="2" t="s">
        <v>60</v>
      </c>
      <c r="B24" s="6" cm="1">
        <f t="array" ref="B24">INDEX(HoleParM,B23,0)</f>
        <v>4</v>
      </c>
      <c r="C24" s="6" cm="1">
        <f t="array" ref="C24">INDEX(HoleParM,C23,0)</f>
        <v>3</v>
      </c>
      <c r="D24" s="6" cm="1">
        <f t="array" ref="D24">INDEX(HoleParM,D23,0)</f>
        <v>5</v>
      </c>
      <c r="E24" s="6" cm="1">
        <f t="array" ref="E24">INDEX(HoleParM,E23,0)</f>
        <v>4</v>
      </c>
      <c r="F24" s="6" cm="1">
        <f t="array" ref="F24">INDEX(HoleParM,F23,0)</f>
        <v>4</v>
      </c>
      <c r="G24" s="6" cm="1">
        <f t="array" ref="G24">INDEX(HoleParM,G23,0)</f>
        <v>4</v>
      </c>
      <c r="H24" s="6" cm="1">
        <f t="array" ref="H24">INDEX(HoleParM,H23,0)</f>
        <v>3</v>
      </c>
      <c r="I24" s="6" cm="1">
        <f t="array" ref="I24">INDEX(HoleParM,I23,0)</f>
        <v>5</v>
      </c>
      <c r="J24" s="6" cm="1">
        <f t="array" ref="J24">INDEX(HoleParM,J23,0)</f>
        <v>4</v>
      </c>
      <c r="K24" s="7">
        <f>IF(SUM(B24:J24)&gt;0,SUM(B24:J24),"")</f>
        <v>36</v>
      </c>
      <c r="L24" s="6" cm="1">
        <f t="array" ref="L24">INDEX(HoleParM,L23,0)</f>
        <v>5</v>
      </c>
      <c r="M24" s="6" cm="1">
        <f t="array" ref="M24">INDEX(HoleParM,M23,0)</f>
        <v>4</v>
      </c>
      <c r="N24" s="6" cm="1">
        <f t="array" ref="N24">INDEX(HoleParM,N23,0)</f>
        <v>5</v>
      </c>
      <c r="O24" s="6" cm="1">
        <f t="array" ref="O24">INDEX(HoleParM,O23,0)</f>
        <v>3</v>
      </c>
      <c r="P24" s="6" cm="1">
        <f t="array" ref="P24">INDEX(HoleParM,P23,0)</f>
        <v>4</v>
      </c>
      <c r="Q24" s="6" cm="1">
        <f t="array" ref="Q24">INDEX(HoleParM,Q23,0)</f>
        <v>4</v>
      </c>
      <c r="R24" s="6" cm="1">
        <f t="array" ref="R24">INDEX(HoleParM,R23,0)</f>
        <v>3</v>
      </c>
      <c r="S24" s="6" cm="1">
        <f t="array" ref="S24">INDEX(HoleParM,S23,0)</f>
        <v>4</v>
      </c>
      <c r="T24" s="6" cm="1">
        <f t="array" ref="T24">INDEX(HoleParM,T23,0)</f>
        <v>4</v>
      </c>
      <c r="U24" s="7">
        <f>IF(SUM(L24:T24)&gt;0,SUM(L24:T24),"")</f>
        <v>36</v>
      </c>
      <c r="V24" s="7">
        <f>IF((SUM(B24:J24)+SUM(L24:T24))&gt;0,SUM(B24:J24)+SUM(L24:T24),"")</f>
        <v>72</v>
      </c>
    </row>
    <row r="25" spans="1:22" x14ac:dyDescent="0.2">
      <c r="A25" s="2" t="s">
        <v>1</v>
      </c>
      <c r="B25" s="6" cm="1">
        <f t="array" ref="B25">INDEX(HoleHandicapM,B23,0)</f>
        <v>11</v>
      </c>
      <c r="C25" s="6" cm="1">
        <f t="array" ref="C25">INDEX(HoleHandicapM,C23,0)</f>
        <v>17</v>
      </c>
      <c r="D25" s="6" cm="1">
        <f t="array" ref="D25">INDEX(HoleHandicapM,D23,0)</f>
        <v>3</v>
      </c>
      <c r="E25" s="6" cm="1">
        <f t="array" ref="E25">INDEX(HoleHandicapM,E23,0)</f>
        <v>5</v>
      </c>
      <c r="F25" s="6" cm="1">
        <f t="array" ref="F25">INDEX(HoleHandicapM,F23,0)</f>
        <v>7</v>
      </c>
      <c r="G25" s="6" cm="1">
        <f t="array" ref="G25">INDEX(HoleHandicapM,G23,0)</f>
        <v>9</v>
      </c>
      <c r="H25" s="6" cm="1">
        <f t="array" ref="H25">INDEX(HoleHandicapM,H23,0)</f>
        <v>15</v>
      </c>
      <c r="I25" s="6" cm="1">
        <f t="array" ref="I25">INDEX(HoleHandicapM,I23,0)</f>
        <v>1</v>
      </c>
      <c r="J25" s="6" cm="1">
        <f t="array" ref="J25">INDEX(HoleHandicapM,J23,0)</f>
        <v>13</v>
      </c>
      <c r="K25" s="6" t="s">
        <v>63</v>
      </c>
      <c r="L25" s="6" cm="1">
        <f t="array" ref="L25">INDEX(HoleHandicapM,L23,0)</f>
        <v>4</v>
      </c>
      <c r="M25" s="6" cm="1">
        <f t="array" ref="M25">INDEX(HoleHandicapM,M23,0)</f>
        <v>18</v>
      </c>
      <c r="N25" s="6" cm="1">
        <f t="array" ref="N25">INDEX(HoleHandicapM,N23,0)</f>
        <v>10</v>
      </c>
      <c r="O25" s="6" cm="1">
        <f t="array" ref="O25">INDEX(HoleHandicapM,O23,0)</f>
        <v>12</v>
      </c>
      <c r="P25" s="6" cm="1">
        <f t="array" ref="P25">INDEX(HoleHandicapM,P23,0)</f>
        <v>2</v>
      </c>
      <c r="Q25" s="6" cm="1">
        <f t="array" ref="Q25">INDEX(HoleHandicapM,Q23,0)</f>
        <v>8</v>
      </c>
      <c r="R25" s="6" cm="1">
        <f t="array" ref="R25">INDEX(HoleHandicapM,R23,0)</f>
        <v>14</v>
      </c>
      <c r="S25" s="6" cm="1">
        <f t="array" ref="S25">INDEX(HoleHandicapM,S23,0)</f>
        <v>16</v>
      </c>
      <c r="T25" s="6" cm="1">
        <f t="array" ref="T25">INDEX(HoleHandicapM,T23,0)</f>
        <v>6</v>
      </c>
      <c r="U25" s="6" t="s">
        <v>64</v>
      </c>
      <c r="V25" s="2" t="s">
        <v>61</v>
      </c>
    </row>
    <row r="26" spans="1:22" x14ac:dyDescent="0.2">
      <c r="A26" s="2" t="str">
        <f>CONCATENATE(A21, " Gross")</f>
        <v>John Allen Gross</v>
      </c>
      <c r="B26" s="7">
        <v>8</v>
      </c>
      <c r="C26" s="7">
        <v>4</v>
      </c>
      <c r="D26" s="7">
        <v>8</v>
      </c>
      <c r="E26" s="7">
        <v>8</v>
      </c>
      <c r="F26" s="7">
        <v>8</v>
      </c>
      <c r="G26" s="7">
        <v>8</v>
      </c>
      <c r="H26" s="7">
        <v>4</v>
      </c>
      <c r="I26" s="7">
        <v>9</v>
      </c>
      <c r="J26" s="7">
        <v>6</v>
      </c>
      <c r="K26" s="7">
        <f t="shared" ref="K26:K32" si="28">IF(OR(ISBLANK(B26),B26=""),"",SUM(B26:J26))</f>
        <v>63</v>
      </c>
      <c r="L26" s="7">
        <v>7</v>
      </c>
      <c r="M26" s="7">
        <v>5</v>
      </c>
      <c r="N26" s="7">
        <v>6</v>
      </c>
      <c r="O26" s="7">
        <v>6</v>
      </c>
      <c r="P26" s="7">
        <v>7</v>
      </c>
      <c r="Q26" s="7">
        <v>8</v>
      </c>
      <c r="R26" s="7">
        <v>7</v>
      </c>
      <c r="S26" s="7">
        <v>5</v>
      </c>
      <c r="T26" s="7">
        <v>6</v>
      </c>
      <c r="U26" s="7">
        <f t="shared" ref="U26:U32" si="29">IF(OR(ISBLANK(L26),L26=""),"",SUM(L26:T26))</f>
        <v>57</v>
      </c>
      <c r="V26" s="7">
        <f t="shared" ref="V26:V32" si="30">IF(OR(ISBLANK(B26),B26=""),"",SUM(B26:J26)+SUM(L26:T26))</f>
        <v>120</v>
      </c>
    </row>
    <row r="27" spans="1:22" x14ac:dyDescent="0.2">
      <c r="A27" s="2" t="str">
        <f>CONCATENATE(A21, " Handicap Strokes")</f>
        <v>John Allen Handicap Strokes</v>
      </c>
      <c r="B27" s="7">
        <f>ROUNDDOWN($E21/18,0)+IF(MOD($E21,18)&gt;=B25,1,0)</f>
        <v>1</v>
      </c>
      <c r="C27" s="7">
        <f t="shared" ref="B27:J27" si="31">ROUNDDOWN($E21/18,0)+IF(MOD($E21,18)&gt;=C25,1,0)</f>
        <v>1</v>
      </c>
      <c r="D27" s="7">
        <f t="shared" si="31"/>
        <v>2</v>
      </c>
      <c r="E27" s="7">
        <f t="shared" si="31"/>
        <v>2</v>
      </c>
      <c r="F27" s="7">
        <f t="shared" si="31"/>
        <v>2</v>
      </c>
      <c r="G27" s="7">
        <f t="shared" si="31"/>
        <v>1</v>
      </c>
      <c r="H27" s="7">
        <f t="shared" si="31"/>
        <v>1</v>
      </c>
      <c r="I27" s="7">
        <f t="shared" si="31"/>
        <v>2</v>
      </c>
      <c r="J27" s="7">
        <f t="shared" si="31"/>
        <v>1</v>
      </c>
      <c r="K27" s="7">
        <f t="shared" si="28"/>
        <v>13</v>
      </c>
      <c r="L27" s="7">
        <f t="shared" ref="L27:T27" si="32">ROUNDDOWN($E21/18,0)+IF(MOD($E21,18)&gt;=L25,1,0)</f>
        <v>2</v>
      </c>
      <c r="M27" s="7">
        <f t="shared" si="32"/>
        <v>1</v>
      </c>
      <c r="N27" s="7">
        <f t="shared" si="32"/>
        <v>1</v>
      </c>
      <c r="O27" s="7">
        <f t="shared" si="32"/>
        <v>1</v>
      </c>
      <c r="P27" s="7">
        <f t="shared" si="32"/>
        <v>2</v>
      </c>
      <c r="Q27" s="7">
        <f t="shared" si="32"/>
        <v>2</v>
      </c>
      <c r="R27" s="7">
        <f t="shared" si="32"/>
        <v>1</v>
      </c>
      <c r="S27" s="7">
        <f t="shared" si="32"/>
        <v>1</v>
      </c>
      <c r="T27" s="7">
        <f t="shared" si="32"/>
        <v>2</v>
      </c>
      <c r="U27" s="7">
        <f t="shared" si="29"/>
        <v>13</v>
      </c>
      <c r="V27" s="7">
        <f t="shared" si="30"/>
        <v>26</v>
      </c>
    </row>
    <row r="28" spans="1:22" x14ac:dyDescent="0.2">
      <c r="A28" s="2" t="str">
        <f>CONCATENATE(A21, " Net (Gross - HCP)")</f>
        <v>John Allen Net (Gross - HCP)</v>
      </c>
      <c r="B28" s="7">
        <f t="shared" ref="B28:J28" si="33">IF(B26-B27&gt;0,B26-B27,"")</f>
        <v>7</v>
      </c>
      <c r="C28" s="7">
        <f t="shared" si="33"/>
        <v>3</v>
      </c>
      <c r="D28" s="7">
        <f t="shared" si="33"/>
        <v>6</v>
      </c>
      <c r="E28" s="7">
        <f t="shared" si="33"/>
        <v>6</v>
      </c>
      <c r="F28" s="7">
        <f t="shared" si="33"/>
        <v>6</v>
      </c>
      <c r="G28" s="7">
        <f t="shared" si="33"/>
        <v>7</v>
      </c>
      <c r="H28" s="7">
        <f t="shared" si="33"/>
        <v>3</v>
      </c>
      <c r="I28" s="7">
        <f t="shared" si="33"/>
        <v>7</v>
      </c>
      <c r="J28" s="7">
        <f t="shared" si="33"/>
        <v>5</v>
      </c>
      <c r="K28" s="7">
        <f t="shared" si="28"/>
        <v>50</v>
      </c>
      <c r="L28" s="7">
        <f t="shared" ref="L28:T28" si="34">IF(L26-L27&gt;0,L26-L27,"")</f>
        <v>5</v>
      </c>
      <c r="M28" s="7">
        <f t="shared" si="34"/>
        <v>4</v>
      </c>
      <c r="N28" s="7">
        <f t="shared" si="34"/>
        <v>5</v>
      </c>
      <c r="O28" s="7">
        <f t="shared" si="34"/>
        <v>5</v>
      </c>
      <c r="P28" s="7">
        <f t="shared" si="34"/>
        <v>5</v>
      </c>
      <c r="Q28" s="7">
        <f t="shared" si="34"/>
        <v>6</v>
      </c>
      <c r="R28" s="7">
        <f t="shared" si="34"/>
        <v>6</v>
      </c>
      <c r="S28" s="7">
        <f t="shared" si="34"/>
        <v>4</v>
      </c>
      <c r="T28" s="7">
        <f t="shared" si="34"/>
        <v>4</v>
      </c>
      <c r="U28" s="7">
        <f t="shared" si="29"/>
        <v>44</v>
      </c>
      <c r="V28" s="7">
        <f t="shared" si="30"/>
        <v>94</v>
      </c>
    </row>
    <row r="29" spans="1:22" x14ac:dyDescent="0.2">
      <c r="A29" s="2" t="str">
        <f>IF(A22 &lt;&gt; "Solo",CONCATENATE(A22, " Gross"),"")</f>
        <v>Patrick Calhoun Gross</v>
      </c>
      <c r="B29" s="7">
        <v>5</v>
      </c>
      <c r="C29" s="7">
        <v>4</v>
      </c>
      <c r="D29" s="7">
        <v>5</v>
      </c>
      <c r="E29" s="7">
        <v>5</v>
      </c>
      <c r="F29" s="7">
        <v>4</v>
      </c>
      <c r="G29" s="7">
        <v>4</v>
      </c>
      <c r="H29" s="7">
        <v>4</v>
      </c>
      <c r="I29" s="7">
        <v>4</v>
      </c>
      <c r="J29" s="7">
        <v>4</v>
      </c>
      <c r="K29" s="7">
        <f t="shared" si="28"/>
        <v>39</v>
      </c>
      <c r="L29" s="7">
        <v>5</v>
      </c>
      <c r="M29" s="7">
        <v>4</v>
      </c>
      <c r="N29" s="7">
        <v>5</v>
      </c>
      <c r="O29" s="7">
        <v>4</v>
      </c>
      <c r="P29" s="7">
        <v>4</v>
      </c>
      <c r="Q29" s="7">
        <v>4</v>
      </c>
      <c r="R29" s="7">
        <v>3</v>
      </c>
      <c r="S29" s="7">
        <v>5</v>
      </c>
      <c r="T29" s="7">
        <v>5</v>
      </c>
      <c r="U29" s="7">
        <f t="shared" si="29"/>
        <v>39</v>
      </c>
      <c r="V29" s="7">
        <f t="shared" si="30"/>
        <v>78</v>
      </c>
    </row>
    <row r="30" spans="1:22" x14ac:dyDescent="0.2">
      <c r="A30" s="2" t="str">
        <f>IF(A22 &lt;&gt; "Solo",CONCATENATE(A22, " Handicap Strokes"),"")</f>
        <v>Patrick Calhoun Handicap Strokes</v>
      </c>
      <c r="B30" s="7">
        <f>IF($A22 &lt;&gt; "Solo",ROUNDDOWN($E22/18,0)+IF(MOD($E22,18)&gt;=B25,1,0),"")</f>
        <v>0</v>
      </c>
      <c r="C30" s="7">
        <f t="shared" ref="C30:J30" si="35">IF($A22 &lt;&gt; "Solo",ROUNDDOWN($E22/18,0)+IF(MOD($E22,18)&gt;=C25,1,0),"")</f>
        <v>0</v>
      </c>
      <c r="D30" s="7">
        <f t="shared" si="35"/>
        <v>1</v>
      </c>
      <c r="E30" s="7">
        <f t="shared" si="35"/>
        <v>0</v>
      </c>
      <c r="F30" s="7">
        <f t="shared" si="35"/>
        <v>0</v>
      </c>
      <c r="G30" s="7">
        <f t="shared" si="35"/>
        <v>0</v>
      </c>
      <c r="H30" s="7">
        <f t="shared" si="35"/>
        <v>0</v>
      </c>
      <c r="I30" s="7">
        <f t="shared" si="35"/>
        <v>1</v>
      </c>
      <c r="J30" s="7">
        <f t="shared" si="35"/>
        <v>0</v>
      </c>
      <c r="K30" s="7">
        <f t="shared" si="28"/>
        <v>2</v>
      </c>
      <c r="L30" s="7">
        <f t="shared" ref="L30:T30" si="36">IF($A22 &lt;&gt; "Solo",ROUNDDOWN($E22/18,0)+IF(MOD($E22,18)&gt;=L25,1,0),"")</f>
        <v>1</v>
      </c>
      <c r="M30" s="7">
        <f t="shared" si="36"/>
        <v>0</v>
      </c>
      <c r="N30" s="7">
        <f t="shared" si="36"/>
        <v>0</v>
      </c>
      <c r="O30" s="7">
        <f t="shared" si="36"/>
        <v>0</v>
      </c>
      <c r="P30" s="7">
        <f t="shared" si="36"/>
        <v>1</v>
      </c>
      <c r="Q30" s="7">
        <f t="shared" si="36"/>
        <v>0</v>
      </c>
      <c r="R30" s="7">
        <f t="shared" si="36"/>
        <v>0</v>
      </c>
      <c r="S30" s="7">
        <f t="shared" si="36"/>
        <v>0</v>
      </c>
      <c r="T30" s="7">
        <f t="shared" si="36"/>
        <v>0</v>
      </c>
      <c r="U30" s="7">
        <f t="shared" si="29"/>
        <v>2</v>
      </c>
      <c r="V30" s="7">
        <f t="shared" si="30"/>
        <v>4</v>
      </c>
    </row>
    <row r="31" spans="1:22" x14ac:dyDescent="0.2">
      <c r="A31" s="2" t="str">
        <f>IF(A22 &lt;&gt; "Solo",CONCATENATE(A22, " Net (Gross - HCP)"),"")</f>
        <v>Patrick Calhoun Net (Gross - HCP)</v>
      </c>
      <c r="B31" s="7">
        <f t="shared" ref="B31" si="37">IF($A22 &lt;&gt; "Solo",IF(B29-B30&gt;0,B29-B30,""),"")</f>
        <v>5</v>
      </c>
      <c r="C31" s="7">
        <f t="shared" ref="C31" si="38">IF($A22 &lt;&gt; "Solo",IF(C29-C30&gt;0,C29-C30,""),"")</f>
        <v>4</v>
      </c>
      <c r="D31" s="7">
        <f t="shared" ref="D31" si="39">IF($A22 &lt;&gt; "Solo",IF(D29-D30&gt;0,D29-D30,""),"")</f>
        <v>4</v>
      </c>
      <c r="E31" s="7">
        <f t="shared" ref="E31" si="40">IF($A22 &lt;&gt; "Solo",IF(E29-E30&gt;0,E29-E30,""),"")</f>
        <v>5</v>
      </c>
      <c r="F31" s="7">
        <f t="shared" ref="F31" si="41">IF($A22 &lt;&gt; "Solo",IF(F29-F30&gt;0,F29-F30,""),"")</f>
        <v>4</v>
      </c>
      <c r="G31" s="7">
        <f t="shared" ref="G31" si="42">IF($A22 &lt;&gt; "Solo",IF(G29-G30&gt;0,G29-G30,""),"")</f>
        <v>4</v>
      </c>
      <c r="H31" s="7">
        <f t="shared" ref="H31" si="43">IF($A22 &lt;&gt; "Solo",IF(H29-H30&gt;0,H29-H30,""),"")</f>
        <v>4</v>
      </c>
      <c r="I31" s="7">
        <f t="shared" ref="I31" si="44">IF($A22 &lt;&gt; "Solo",IF(I29-I30&gt;0,I29-I30,""),"")</f>
        <v>3</v>
      </c>
      <c r="J31" s="7">
        <f t="shared" ref="J31" si="45">IF($A22 &lt;&gt; "Solo",IF(J29-J30&gt;0,J29-J30,""),"")</f>
        <v>4</v>
      </c>
      <c r="K31" s="7">
        <f t="shared" si="28"/>
        <v>37</v>
      </c>
      <c r="L31" s="7">
        <f t="shared" ref="L31" si="46">IF($A22 &lt;&gt; "Solo",IF(L29-L30&gt;0,L29-L30,""),"")</f>
        <v>4</v>
      </c>
      <c r="M31" s="7">
        <f t="shared" ref="M31" si="47">IF($A22 &lt;&gt; "Solo",IF(M29-M30&gt;0,M29-M30,""),"")</f>
        <v>4</v>
      </c>
      <c r="N31" s="7">
        <f t="shared" ref="N31" si="48">IF($A22 &lt;&gt; "Solo",IF(N29-N30&gt;0,N29-N30,""),"")</f>
        <v>5</v>
      </c>
      <c r="O31" s="7">
        <f t="shared" ref="O31" si="49">IF($A22 &lt;&gt; "Solo",IF(O29-O30&gt;0,O29-O30,""),"")</f>
        <v>4</v>
      </c>
      <c r="P31" s="7">
        <f t="shared" ref="P31" si="50">IF($A22 &lt;&gt; "Solo",IF(P29-P30&gt;0,P29-P30,""),"")</f>
        <v>3</v>
      </c>
      <c r="Q31" s="7">
        <f t="shared" ref="Q31" si="51">IF($A22 &lt;&gt; "Solo",IF(Q29-Q30&gt;0,Q29-Q30,""),"")</f>
        <v>4</v>
      </c>
      <c r="R31" s="7">
        <f t="shared" ref="R31" si="52">IF($A22 &lt;&gt; "Solo",IF(R29-R30&gt;0,R29-R30,""),"")</f>
        <v>3</v>
      </c>
      <c r="S31" s="7">
        <f t="shared" ref="S31" si="53">IF($A22 &lt;&gt; "Solo",IF(S29-S30&gt;0,S29-S30,""),"")</f>
        <v>5</v>
      </c>
      <c r="T31" s="7">
        <f t="shared" ref="T31" si="54">IF($A22 &lt;&gt; "Solo",IF(T29-T30&gt;0,T29-T30,""),"")</f>
        <v>5</v>
      </c>
      <c r="U31" s="7">
        <f t="shared" si="29"/>
        <v>37</v>
      </c>
      <c r="V31" s="7">
        <f t="shared" si="30"/>
        <v>74</v>
      </c>
    </row>
    <row r="32" spans="1:22" x14ac:dyDescent="0.2">
      <c r="A32" s="2" t="str">
        <f>CONCATENATE(A20, " Best Ball")</f>
        <v>Team 2 Best Ball</v>
      </c>
      <c r="B32" s="7">
        <f>IF(AND(ISBLANK(B26), ISBLANK(B29)),"",MIN(B28,B31))</f>
        <v>5</v>
      </c>
      <c r="C32" s="7">
        <f t="shared" ref="C32" si="55">IF(AND(ISBLANK(C26), ISBLANK(C29)),"",MIN(C28,C31))</f>
        <v>3</v>
      </c>
      <c r="D32" s="7">
        <f t="shared" ref="D32" si="56">IF(AND(ISBLANK(D26), ISBLANK(D29)),"",MIN(D28,D31))</f>
        <v>4</v>
      </c>
      <c r="E32" s="7">
        <f t="shared" ref="E32" si="57">IF(AND(ISBLANK(E26), ISBLANK(E29)),"",MIN(E28,E31))</f>
        <v>5</v>
      </c>
      <c r="F32" s="7">
        <f t="shared" ref="F32" si="58">IF(AND(ISBLANK(F26), ISBLANK(F29)),"",MIN(F28,F31))</f>
        <v>4</v>
      </c>
      <c r="G32" s="7">
        <f t="shared" ref="G32" si="59">IF(AND(ISBLANK(G26), ISBLANK(G29)),"",MIN(G28,G31))</f>
        <v>4</v>
      </c>
      <c r="H32" s="7">
        <f t="shared" ref="H32" si="60">IF(AND(ISBLANK(H26), ISBLANK(H29)),"",MIN(H28,H31))</f>
        <v>3</v>
      </c>
      <c r="I32" s="7">
        <f t="shared" ref="I32" si="61">IF(AND(ISBLANK(I26), ISBLANK(I29)),"",MIN(I28,I31))</f>
        <v>3</v>
      </c>
      <c r="J32" s="7">
        <f t="shared" ref="J32" si="62">IF(AND(ISBLANK(J26), ISBLANK(J29)),"",MIN(J28,J31))</f>
        <v>4</v>
      </c>
      <c r="K32" s="7">
        <f t="shared" si="28"/>
        <v>35</v>
      </c>
      <c r="L32" s="7">
        <f t="shared" ref="L32" si="63">IF(AND(ISBLANK(L26), ISBLANK(L29)),"",MIN(L28,L31))</f>
        <v>4</v>
      </c>
      <c r="M32" s="7">
        <f t="shared" ref="M32" si="64">IF(AND(ISBLANK(M26), ISBLANK(M29)),"",MIN(M28,M31))</f>
        <v>4</v>
      </c>
      <c r="N32" s="7">
        <f t="shared" ref="N32" si="65">IF(AND(ISBLANK(N26), ISBLANK(N29)),"",MIN(N28,N31))</f>
        <v>5</v>
      </c>
      <c r="O32" s="7">
        <f t="shared" ref="O32" si="66">IF(AND(ISBLANK(O26), ISBLANK(O29)),"",MIN(O28,O31))</f>
        <v>4</v>
      </c>
      <c r="P32" s="7">
        <f t="shared" ref="P32" si="67">IF(AND(ISBLANK(P26), ISBLANK(P29)),"",MIN(P28,P31))</f>
        <v>3</v>
      </c>
      <c r="Q32" s="7">
        <f t="shared" ref="Q32" si="68">IF(AND(ISBLANK(Q26), ISBLANK(Q29)),"",MIN(Q28,Q31))</f>
        <v>4</v>
      </c>
      <c r="R32" s="7">
        <f t="shared" ref="R32" si="69">IF(AND(ISBLANK(R26), ISBLANK(R29)),"",MIN(R28,R31))</f>
        <v>3</v>
      </c>
      <c r="S32" s="7">
        <f t="shared" ref="S32" si="70">IF(AND(ISBLANK(S26), ISBLANK(S29)),"",MIN(S28,S31))</f>
        <v>4</v>
      </c>
      <c r="T32" s="7">
        <f t="shared" ref="T32" si="71">IF(AND(ISBLANK(T26), ISBLANK(T29)),"",MIN(T28,T31))</f>
        <v>4</v>
      </c>
      <c r="U32" s="7">
        <f t="shared" si="29"/>
        <v>35</v>
      </c>
      <c r="V32" s="7">
        <f t="shared" si="30"/>
        <v>70</v>
      </c>
    </row>
    <row r="33" spans="1:22" ht="15.75" customHeight="1" x14ac:dyDescent="0.2">
      <c r="A33" s="2"/>
      <c r="B33" s="2"/>
      <c r="C33" s="2"/>
      <c r="D33" s="4" t="s">
        <v>17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spans="1:22" ht="15.75" customHeight="1" x14ac:dyDescent="0.2">
      <c r="A34" s="2" t="s">
        <v>5</v>
      </c>
      <c r="B34" s="2" t="s">
        <v>62</v>
      </c>
      <c r="C34" s="2" t="s">
        <v>2</v>
      </c>
      <c r="D34" s="3" t="s">
        <v>31</v>
      </c>
      <c r="E34" s="4" t="s">
        <v>28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spans="1:22" x14ac:dyDescent="0.2">
      <c r="A35" s="2" t="str" cm="1">
        <f t="array" ref="A35">INDEX(PlayerNames,SUMPRODUCT((PlayerTeamNo=VALUE(RIGHT(A34,1)))*(PlayerPlayerNo=1)*ROW(PlayerNames))-1)</f>
        <v>Ken Moon</v>
      </c>
      <c r="B35" s="2" t="str" cm="1">
        <f t="array" ref="B35">INDEX(PlayerTees,SUMPRODUCT((PlayerTeamNo=VALUE(RIGHT(A34,1)))*(PlayerPlayerNo=1)*ROW(PlayerTees))-1)</f>
        <v>Black</v>
      </c>
      <c r="C35" s="2" cm="1">
        <f t="array" ref="C35">IF(MaxIndex &gt; 0,MIN(INDEX(PlayerHandicaps,SUMPRODUCT((PlayerTeamNo=VALUE(RIGHT(A34,1)))*(PlayerPlayerNo=1)*ROW(PlayerHandicaps))-1),MaxIndex),INDEX(PlayerHandicaps,SUMPRODUCT((PlayerTeamNo=VALUE(RIGHT(A34,1)))*(PlayerPlayerNo=1)*ROW(PlayerHandicaps))-1))</f>
        <v>7</v>
      </c>
      <c r="D35" s="2" cm="1">
        <f t="array" ref="D35">IF(C35="","",IF(C35=0,0,IF(INDEX(PlayerGender,SUMPRODUCT((PlayerTeamNo=VALUE(RIGHT(A34,1)))*(PlayerPlayerNo=1)*ROW(PlayerGender))-1)="M",ROUND((C35*(HLOOKUP(B35,MensTees,2,FALSE)/113))+(HLOOKUP(B35,MensTees,3,FALSE)-HLOOKUP(B35,MensTees,4,FALSE)),0),ROUND((C35*(HLOOKUP(B35,WomenTees,2,FALSE)/113))+(HLOOKUP(B35,WomenTees,3,FALSE)-HLOOKUP(B35,WomenTees,4,FALSE)),0))))</f>
        <v>7</v>
      </c>
      <c r="E35" s="2">
        <f>IF(A36 = "Solo",D35,ROUND(D35*HandicapAllowance,0))</f>
        <v>6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spans="1:22" x14ac:dyDescent="0.2">
      <c r="A36" s="2" t="str" cm="1">
        <f t="array" ref="A36">IF(ISERROR(INDEX(PlayerNames,SUMPRODUCT((PlayerTeamNo=VALUE(RIGHT(A34,1)))*(PlayerPlayerNo=2)*ROW(PlayerNames))-1)),"Solo",INDEX(PlayerNames,SUMPRODUCT((PlayerTeamNo=VALUE(RIGHT(A34,1)))*(PlayerPlayerNo=2)*ROW(PlayerNames))-1))</f>
        <v>Pom Moon</v>
      </c>
      <c r="B36" s="2" t="str" cm="1">
        <f t="array" ref="B36">IF(A36&lt;&gt;"Solo",INDEX(PlayerTees,SUMPRODUCT((PlayerTeamNo=VALUE(RIGHT(A34,1)))*(PlayerPlayerNo=2)*ROW(PlayerTees))-1),"")</f>
        <v>Black</v>
      </c>
      <c r="C36" s="2" cm="1">
        <f t="array" ref="C36">IF(A36 &lt;&gt; "Solo",IF(MaxIndex &gt; 0,MIN(INDEX(PlayerHandicaps,SUMPRODUCT((PlayerTeamNo=VALUE(RIGHT(A34,1)))*(PlayerPlayerNo=2)*ROW(PlayerHandicaps))-1),MaxIndex),INDEX(PlayerHandicaps,SUMPRODUCT((PlayerTeamNo=VALUE(RIGHT(A34,1)))*(PlayerPlayerNo=2)*ROW(PlayerHandicaps))-1)),"")</f>
        <v>10</v>
      </c>
      <c r="D36" s="2" cm="1">
        <f t="array" ref="D36">IF(C36="","",IF(C36=0,0,IF(INDEX(PlayerGender,SUMPRODUCT((PlayerTeamNo=VALUE(RIGHT(A34,1)))*(PlayerPlayerNo=2)*ROW(PlayerGender))-1)="M",ROUND((C36*(HLOOKUP(B36,MensTees,2,FALSE)/113))+(HLOOKUP(B36,MensTees,3,FALSE)-HLOOKUP(B36,MensTees,4,FALSE)),0),ROUND((C36*(HLOOKUP(B36,WomenTees,2,FALSE)/113))+(HLOOKUP(B36,WomenTees,3,FALSE)-HLOOKUP(B36,WomenTees,4,FALSE)),0))))</f>
        <v>11</v>
      </c>
      <c r="E36" s="2">
        <f>IF(A36 &lt;&gt; "Solo",ROUND(D36*HandicapAllowance,0),"")</f>
        <v>10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spans="1:22" x14ac:dyDescent="0.2">
      <c r="A37" s="2" t="s">
        <v>3</v>
      </c>
      <c r="B37" s="5">
        <v>1</v>
      </c>
      <c r="C37" s="5">
        <v>2</v>
      </c>
      <c r="D37" s="5">
        <v>3</v>
      </c>
      <c r="E37" s="5">
        <v>4</v>
      </c>
      <c r="F37" s="5">
        <v>5</v>
      </c>
      <c r="G37" s="5">
        <v>6</v>
      </c>
      <c r="H37" s="5">
        <v>7</v>
      </c>
      <c r="I37" s="5">
        <v>8</v>
      </c>
      <c r="J37" s="5">
        <v>9</v>
      </c>
      <c r="K37" s="5"/>
      <c r="L37" s="5">
        <v>10</v>
      </c>
      <c r="M37" s="5">
        <v>11</v>
      </c>
      <c r="N37" s="5">
        <v>12</v>
      </c>
      <c r="O37" s="5">
        <v>13</v>
      </c>
      <c r="P37" s="5">
        <v>14</v>
      </c>
      <c r="Q37" s="5">
        <v>15</v>
      </c>
      <c r="R37" s="5">
        <v>16</v>
      </c>
      <c r="S37" s="5">
        <v>17</v>
      </c>
      <c r="T37" s="5">
        <v>18</v>
      </c>
      <c r="U37" s="5"/>
      <c r="V37" s="2"/>
    </row>
    <row r="38" spans="1:22" x14ac:dyDescent="0.2">
      <c r="A38" s="2" t="s">
        <v>60</v>
      </c>
      <c r="B38" s="6" cm="1">
        <f t="array" ref="B38">INDEX(HoleParM,B37,0)</f>
        <v>4</v>
      </c>
      <c r="C38" s="6" cm="1">
        <f t="array" ref="C38">INDEX(HoleParM,C37,0)</f>
        <v>3</v>
      </c>
      <c r="D38" s="6" cm="1">
        <f t="array" ref="D38">INDEX(HoleParM,D37,0)</f>
        <v>5</v>
      </c>
      <c r="E38" s="6" cm="1">
        <f t="array" ref="E38">INDEX(HoleParM,E37,0)</f>
        <v>4</v>
      </c>
      <c r="F38" s="6" cm="1">
        <f t="array" ref="F38">INDEX(HoleParM,F37,0)</f>
        <v>4</v>
      </c>
      <c r="G38" s="6" cm="1">
        <f t="array" ref="G38">INDEX(HoleParM,G37,0)</f>
        <v>4</v>
      </c>
      <c r="H38" s="6" cm="1">
        <f t="array" ref="H38">INDEX(HoleParM,H37,0)</f>
        <v>3</v>
      </c>
      <c r="I38" s="6" cm="1">
        <f t="array" ref="I38">INDEX(HoleParM,I37,0)</f>
        <v>5</v>
      </c>
      <c r="J38" s="6" cm="1">
        <f t="array" ref="J38">INDEX(HoleParM,J37,0)</f>
        <v>4</v>
      </c>
      <c r="K38" s="7">
        <f>IF(SUM(B38:J38)&gt;0,SUM(B38:J38),"")</f>
        <v>36</v>
      </c>
      <c r="L38" s="6" cm="1">
        <f t="array" ref="L38">INDEX(HoleParM,L37,0)</f>
        <v>5</v>
      </c>
      <c r="M38" s="6" cm="1">
        <f t="array" ref="M38">INDEX(HoleParM,M37,0)</f>
        <v>4</v>
      </c>
      <c r="N38" s="6" cm="1">
        <f t="array" ref="N38">INDEX(HoleParM,N37,0)</f>
        <v>5</v>
      </c>
      <c r="O38" s="6" cm="1">
        <f t="array" ref="O38">INDEX(HoleParM,O37,0)</f>
        <v>3</v>
      </c>
      <c r="P38" s="6" cm="1">
        <f t="array" ref="P38">INDEX(HoleParM,P37,0)</f>
        <v>4</v>
      </c>
      <c r="Q38" s="6" cm="1">
        <f t="array" ref="Q38">INDEX(HoleParM,Q37,0)</f>
        <v>4</v>
      </c>
      <c r="R38" s="6" cm="1">
        <f t="array" ref="R38">INDEX(HoleParM,R37,0)</f>
        <v>3</v>
      </c>
      <c r="S38" s="6" cm="1">
        <f t="array" ref="S38">INDEX(HoleParM,S37,0)</f>
        <v>4</v>
      </c>
      <c r="T38" s="6" cm="1">
        <f t="array" ref="T38">INDEX(HoleParM,T37,0)</f>
        <v>4</v>
      </c>
      <c r="U38" s="7">
        <f>IF(SUM(L38:T38)&gt;0,SUM(L38:T38),"")</f>
        <v>36</v>
      </c>
      <c r="V38" s="7">
        <f>IF((SUM(B38:J38)+SUM(L38:T38))&gt;0,SUM(B38:J38)+SUM(L38:T38),"")</f>
        <v>72</v>
      </c>
    </row>
    <row r="39" spans="1:22" x14ac:dyDescent="0.2">
      <c r="A39" s="2" t="s">
        <v>1</v>
      </c>
      <c r="B39" s="6" cm="1">
        <f t="array" ref="B39">INDEX(HoleHandicapM,B37,0)</f>
        <v>11</v>
      </c>
      <c r="C39" s="6" cm="1">
        <f t="array" ref="C39">INDEX(HoleHandicapM,C37,0)</f>
        <v>17</v>
      </c>
      <c r="D39" s="6" cm="1">
        <f t="array" ref="D39">INDEX(HoleHandicapM,D37,0)</f>
        <v>3</v>
      </c>
      <c r="E39" s="6" cm="1">
        <f t="array" ref="E39">INDEX(HoleHandicapM,E37,0)</f>
        <v>5</v>
      </c>
      <c r="F39" s="6" cm="1">
        <f t="array" ref="F39">INDEX(HoleHandicapM,F37,0)</f>
        <v>7</v>
      </c>
      <c r="G39" s="6" cm="1">
        <f t="array" ref="G39">INDEX(HoleHandicapM,G37,0)</f>
        <v>9</v>
      </c>
      <c r="H39" s="6" cm="1">
        <f t="array" ref="H39">INDEX(HoleHandicapM,H37,0)</f>
        <v>15</v>
      </c>
      <c r="I39" s="6" cm="1">
        <f t="array" ref="I39">INDEX(HoleHandicapM,I37,0)</f>
        <v>1</v>
      </c>
      <c r="J39" s="6" cm="1">
        <f t="array" ref="J39">INDEX(HoleHandicapM,J37,0)</f>
        <v>13</v>
      </c>
      <c r="K39" s="6" t="s">
        <v>63</v>
      </c>
      <c r="L39" s="6" cm="1">
        <f t="array" ref="L39">INDEX(HoleHandicapM,L37,0)</f>
        <v>4</v>
      </c>
      <c r="M39" s="6" cm="1">
        <f t="array" ref="M39">INDEX(HoleHandicapM,M37,0)</f>
        <v>18</v>
      </c>
      <c r="N39" s="6" cm="1">
        <f t="array" ref="N39">INDEX(HoleHandicapM,N37,0)</f>
        <v>10</v>
      </c>
      <c r="O39" s="6" cm="1">
        <f t="array" ref="O39">INDEX(HoleHandicapM,O37,0)</f>
        <v>12</v>
      </c>
      <c r="P39" s="6" cm="1">
        <f t="array" ref="P39">INDEX(HoleHandicapM,P37,0)</f>
        <v>2</v>
      </c>
      <c r="Q39" s="6" cm="1">
        <f t="array" ref="Q39">INDEX(HoleHandicapM,Q37,0)</f>
        <v>8</v>
      </c>
      <c r="R39" s="6" cm="1">
        <f t="array" ref="R39">INDEX(HoleHandicapM,R37,0)</f>
        <v>14</v>
      </c>
      <c r="S39" s="6" cm="1">
        <f t="array" ref="S39">INDEX(HoleHandicapM,S37,0)</f>
        <v>16</v>
      </c>
      <c r="T39" s="6" cm="1">
        <f t="array" ref="T39">INDEX(HoleHandicapM,T37,0)</f>
        <v>6</v>
      </c>
      <c r="U39" s="6" t="s">
        <v>64</v>
      </c>
      <c r="V39" s="2" t="s">
        <v>61</v>
      </c>
    </row>
    <row r="40" spans="1:22" x14ac:dyDescent="0.2">
      <c r="A40" s="2" t="str">
        <f>CONCATENATE(A35, " Gross")</f>
        <v>Ken Moon Gross</v>
      </c>
      <c r="B40" s="7">
        <v>6</v>
      </c>
      <c r="C40" s="7">
        <v>4</v>
      </c>
      <c r="D40" s="7">
        <v>7</v>
      </c>
      <c r="E40" s="7">
        <v>4</v>
      </c>
      <c r="F40" s="7">
        <v>3</v>
      </c>
      <c r="G40" s="7">
        <v>5</v>
      </c>
      <c r="H40" s="7">
        <v>4</v>
      </c>
      <c r="I40" s="7">
        <v>5</v>
      </c>
      <c r="J40" s="7">
        <v>4</v>
      </c>
      <c r="K40" s="7">
        <f t="shared" ref="K40:K46" si="72">IF(OR(ISBLANK(B40),B40=""),"",SUM(B40:J40))</f>
        <v>42</v>
      </c>
      <c r="L40" s="7">
        <v>5</v>
      </c>
      <c r="M40" s="7">
        <v>5</v>
      </c>
      <c r="N40" s="7">
        <v>4</v>
      </c>
      <c r="O40" s="7">
        <v>3</v>
      </c>
      <c r="P40" s="7">
        <v>5</v>
      </c>
      <c r="Q40" s="7">
        <v>4</v>
      </c>
      <c r="R40" s="7">
        <v>4</v>
      </c>
      <c r="S40" s="7">
        <v>4</v>
      </c>
      <c r="T40" s="7">
        <v>5</v>
      </c>
      <c r="U40" s="7">
        <f t="shared" ref="U40:U46" si="73">IF(OR(ISBLANK(L40),L40=""),"",SUM(L40:T40))</f>
        <v>39</v>
      </c>
      <c r="V40" s="7">
        <f t="shared" ref="V40:V46" si="74">IF(OR(ISBLANK(B40),B40=""),"",SUM(B40:J40)+SUM(L40:T40))</f>
        <v>81</v>
      </c>
    </row>
    <row r="41" spans="1:22" x14ac:dyDescent="0.2">
      <c r="A41" s="2" t="str">
        <f>CONCATENATE(A35, " Handicap Strokes")</f>
        <v>Ken Moon Handicap Strokes</v>
      </c>
      <c r="B41" s="7">
        <f t="shared" ref="B41:J41" si="75">ROUNDDOWN($E35/18,0)+IF(MOD($E35,18)&gt;=B39,1,0)</f>
        <v>0</v>
      </c>
      <c r="C41" s="7">
        <f t="shared" si="75"/>
        <v>0</v>
      </c>
      <c r="D41" s="7">
        <f t="shared" si="75"/>
        <v>1</v>
      </c>
      <c r="E41" s="7">
        <f t="shared" si="75"/>
        <v>1</v>
      </c>
      <c r="F41" s="7">
        <f t="shared" si="75"/>
        <v>0</v>
      </c>
      <c r="G41" s="7">
        <f t="shared" si="75"/>
        <v>0</v>
      </c>
      <c r="H41" s="7">
        <f t="shared" si="75"/>
        <v>0</v>
      </c>
      <c r="I41" s="7">
        <f t="shared" si="75"/>
        <v>1</v>
      </c>
      <c r="J41" s="7">
        <f t="shared" si="75"/>
        <v>0</v>
      </c>
      <c r="K41" s="7">
        <f t="shared" si="72"/>
        <v>3</v>
      </c>
      <c r="L41" s="7">
        <f t="shared" ref="L41:T41" si="76">ROUNDDOWN($E35/18,0)+IF(MOD($E35,18)&gt;=L39,1,0)</f>
        <v>1</v>
      </c>
      <c r="M41" s="7">
        <f t="shared" si="76"/>
        <v>0</v>
      </c>
      <c r="N41" s="7">
        <f t="shared" si="76"/>
        <v>0</v>
      </c>
      <c r="O41" s="7">
        <f t="shared" si="76"/>
        <v>0</v>
      </c>
      <c r="P41" s="7">
        <f t="shared" si="76"/>
        <v>1</v>
      </c>
      <c r="Q41" s="7">
        <f t="shared" si="76"/>
        <v>0</v>
      </c>
      <c r="R41" s="7">
        <f t="shared" si="76"/>
        <v>0</v>
      </c>
      <c r="S41" s="7">
        <f t="shared" si="76"/>
        <v>0</v>
      </c>
      <c r="T41" s="7">
        <f t="shared" si="76"/>
        <v>1</v>
      </c>
      <c r="U41" s="7">
        <f t="shared" si="73"/>
        <v>3</v>
      </c>
      <c r="V41" s="7">
        <f t="shared" si="74"/>
        <v>6</v>
      </c>
    </row>
    <row r="42" spans="1:22" x14ac:dyDescent="0.2">
      <c r="A42" s="2" t="str">
        <f>CONCATENATE(A35, " Net (Gross - HCP)")</f>
        <v>Ken Moon Net (Gross - HCP)</v>
      </c>
      <c r="B42" s="7">
        <f t="shared" ref="B42:J42" si="77">IF(B40-B41&gt;0,B40-B41,"")</f>
        <v>6</v>
      </c>
      <c r="C42" s="7">
        <f t="shared" si="77"/>
        <v>4</v>
      </c>
      <c r="D42" s="7">
        <f t="shared" si="77"/>
        <v>6</v>
      </c>
      <c r="E42" s="7">
        <f t="shared" si="77"/>
        <v>3</v>
      </c>
      <c r="F42" s="7">
        <f t="shared" si="77"/>
        <v>3</v>
      </c>
      <c r="G42" s="7">
        <f t="shared" si="77"/>
        <v>5</v>
      </c>
      <c r="H42" s="7">
        <f t="shared" si="77"/>
        <v>4</v>
      </c>
      <c r="I42" s="7">
        <f t="shared" si="77"/>
        <v>4</v>
      </c>
      <c r="J42" s="7">
        <f t="shared" si="77"/>
        <v>4</v>
      </c>
      <c r="K42" s="7">
        <f t="shared" si="72"/>
        <v>39</v>
      </c>
      <c r="L42" s="7">
        <f t="shared" ref="L42:T42" si="78">IF(L40-L41&gt;0,L40-L41,"")</f>
        <v>4</v>
      </c>
      <c r="M42" s="7">
        <f t="shared" si="78"/>
        <v>5</v>
      </c>
      <c r="N42" s="7">
        <f t="shared" si="78"/>
        <v>4</v>
      </c>
      <c r="O42" s="7">
        <f t="shared" si="78"/>
        <v>3</v>
      </c>
      <c r="P42" s="7">
        <f t="shared" si="78"/>
        <v>4</v>
      </c>
      <c r="Q42" s="7">
        <f t="shared" si="78"/>
        <v>4</v>
      </c>
      <c r="R42" s="7">
        <f t="shared" si="78"/>
        <v>4</v>
      </c>
      <c r="S42" s="7">
        <f t="shared" si="78"/>
        <v>4</v>
      </c>
      <c r="T42" s="7">
        <f t="shared" si="78"/>
        <v>4</v>
      </c>
      <c r="U42" s="7">
        <f t="shared" si="73"/>
        <v>36</v>
      </c>
      <c r="V42" s="7">
        <f t="shared" si="74"/>
        <v>75</v>
      </c>
    </row>
    <row r="43" spans="1:22" x14ac:dyDescent="0.2">
      <c r="A43" s="2" t="str">
        <f>IF(A36 &lt;&gt; "Solo",CONCATENATE(A36, " Gross"),"")</f>
        <v>Pom Moon Gross</v>
      </c>
      <c r="B43" s="7">
        <v>6</v>
      </c>
      <c r="C43" s="7">
        <v>4</v>
      </c>
      <c r="D43" s="7">
        <v>5</v>
      </c>
      <c r="E43" s="7">
        <v>5</v>
      </c>
      <c r="F43" s="7">
        <v>4</v>
      </c>
      <c r="G43" s="7">
        <v>4</v>
      </c>
      <c r="H43" s="7">
        <v>3</v>
      </c>
      <c r="I43" s="7">
        <v>6</v>
      </c>
      <c r="J43" s="7">
        <v>6</v>
      </c>
      <c r="K43" s="7">
        <f t="shared" si="72"/>
        <v>43</v>
      </c>
      <c r="L43" s="7">
        <v>6</v>
      </c>
      <c r="M43" s="7">
        <v>4</v>
      </c>
      <c r="N43" s="7">
        <v>5</v>
      </c>
      <c r="O43" s="7">
        <v>4</v>
      </c>
      <c r="P43" s="7">
        <v>3</v>
      </c>
      <c r="Q43" s="7">
        <v>4</v>
      </c>
      <c r="R43" s="7">
        <v>4</v>
      </c>
      <c r="S43" s="7">
        <v>5</v>
      </c>
      <c r="T43" s="7">
        <v>6</v>
      </c>
      <c r="U43" s="7">
        <f t="shared" si="73"/>
        <v>41</v>
      </c>
      <c r="V43" s="7">
        <f t="shared" si="74"/>
        <v>84</v>
      </c>
    </row>
    <row r="44" spans="1:22" x14ac:dyDescent="0.2">
      <c r="A44" s="2" t="str">
        <f>IF(A36 &lt;&gt; "Solo",CONCATENATE(A36, " Handicap Strokes"),"")</f>
        <v>Pom Moon Handicap Strokes</v>
      </c>
      <c r="B44" s="7">
        <f>IF($A36 &lt;&gt; "Solo",ROUNDDOWN($E36/18,0)+IF(MOD($E36,18)&gt;=B39,1,0),"")</f>
        <v>0</v>
      </c>
      <c r="C44" s="7">
        <f t="shared" ref="C44:J44" si="79">IF($A36 &lt;&gt; "Solo",ROUNDDOWN($E36/18,0)+IF(MOD($E36,18)&gt;=C39,1,0),"")</f>
        <v>0</v>
      </c>
      <c r="D44" s="7">
        <f t="shared" si="79"/>
        <v>1</v>
      </c>
      <c r="E44" s="7">
        <f t="shared" si="79"/>
        <v>1</v>
      </c>
      <c r="F44" s="7">
        <f t="shared" si="79"/>
        <v>1</v>
      </c>
      <c r="G44" s="7">
        <f t="shared" si="79"/>
        <v>1</v>
      </c>
      <c r="H44" s="7">
        <f t="shared" si="79"/>
        <v>0</v>
      </c>
      <c r="I44" s="7">
        <f t="shared" si="79"/>
        <v>1</v>
      </c>
      <c r="J44" s="7">
        <f t="shared" si="79"/>
        <v>0</v>
      </c>
      <c r="K44" s="7">
        <f t="shared" si="72"/>
        <v>5</v>
      </c>
      <c r="L44" s="7">
        <f t="shared" ref="L44:T44" si="80">IF($A36 &lt;&gt; "Solo",ROUNDDOWN($E36/18,0)+IF(MOD($E36,18)&gt;=L39,1,0),"")</f>
        <v>1</v>
      </c>
      <c r="M44" s="7">
        <f t="shared" si="80"/>
        <v>0</v>
      </c>
      <c r="N44" s="7">
        <f t="shared" si="80"/>
        <v>1</v>
      </c>
      <c r="O44" s="7">
        <f t="shared" si="80"/>
        <v>0</v>
      </c>
      <c r="P44" s="7">
        <f t="shared" si="80"/>
        <v>1</v>
      </c>
      <c r="Q44" s="7">
        <f t="shared" si="80"/>
        <v>1</v>
      </c>
      <c r="R44" s="7">
        <f t="shared" si="80"/>
        <v>0</v>
      </c>
      <c r="S44" s="7">
        <f t="shared" si="80"/>
        <v>0</v>
      </c>
      <c r="T44" s="7">
        <f t="shared" si="80"/>
        <v>1</v>
      </c>
      <c r="U44" s="7">
        <f t="shared" si="73"/>
        <v>5</v>
      </c>
      <c r="V44" s="7">
        <f t="shared" si="74"/>
        <v>10</v>
      </c>
    </row>
    <row r="45" spans="1:22" x14ac:dyDescent="0.2">
      <c r="A45" s="2" t="str">
        <f>IF(A36 &lt;&gt; "Solo",CONCATENATE(A36, " Net (Gross - HCP)"),"")</f>
        <v>Pom Moon Net (Gross - HCP)</v>
      </c>
      <c r="B45" s="7">
        <f t="shared" ref="B45" si="81">IF($A36 &lt;&gt; "Solo",IF(B43-B44&gt;0,B43-B44,""),"")</f>
        <v>6</v>
      </c>
      <c r="C45" s="7">
        <f t="shared" ref="C45" si="82">IF($A36 &lt;&gt; "Solo",IF(C43-C44&gt;0,C43-C44,""),"")</f>
        <v>4</v>
      </c>
      <c r="D45" s="7">
        <f t="shared" ref="D45" si="83">IF($A36 &lt;&gt; "Solo",IF(D43-D44&gt;0,D43-D44,""),"")</f>
        <v>4</v>
      </c>
      <c r="E45" s="7">
        <f t="shared" ref="E45" si="84">IF($A36 &lt;&gt; "Solo",IF(E43-E44&gt;0,E43-E44,""),"")</f>
        <v>4</v>
      </c>
      <c r="F45" s="7">
        <f t="shared" ref="F45" si="85">IF($A36 &lt;&gt; "Solo",IF(F43-F44&gt;0,F43-F44,""),"")</f>
        <v>3</v>
      </c>
      <c r="G45" s="7">
        <f t="shared" ref="G45" si="86">IF($A36 &lt;&gt; "Solo",IF(G43-G44&gt;0,G43-G44,""),"")</f>
        <v>3</v>
      </c>
      <c r="H45" s="7">
        <f t="shared" ref="H45" si="87">IF($A36 &lt;&gt; "Solo",IF(H43-H44&gt;0,H43-H44,""),"")</f>
        <v>3</v>
      </c>
      <c r="I45" s="7">
        <f t="shared" ref="I45" si="88">IF($A36 &lt;&gt; "Solo",IF(I43-I44&gt;0,I43-I44,""),"")</f>
        <v>5</v>
      </c>
      <c r="J45" s="7">
        <f t="shared" ref="J45" si="89">IF($A36 &lt;&gt; "Solo",IF(J43-J44&gt;0,J43-J44,""),"")</f>
        <v>6</v>
      </c>
      <c r="K45" s="7">
        <f t="shared" si="72"/>
        <v>38</v>
      </c>
      <c r="L45" s="7">
        <f t="shared" ref="L45" si="90">IF($A36 &lt;&gt; "Solo",IF(L43-L44&gt;0,L43-L44,""),"")</f>
        <v>5</v>
      </c>
      <c r="M45" s="7">
        <f t="shared" ref="M45" si="91">IF($A36 &lt;&gt; "Solo",IF(M43-M44&gt;0,M43-M44,""),"")</f>
        <v>4</v>
      </c>
      <c r="N45" s="7">
        <f t="shared" ref="N45" si="92">IF($A36 &lt;&gt; "Solo",IF(N43-N44&gt;0,N43-N44,""),"")</f>
        <v>4</v>
      </c>
      <c r="O45" s="7">
        <f t="shared" ref="O45" si="93">IF($A36 &lt;&gt; "Solo",IF(O43-O44&gt;0,O43-O44,""),"")</f>
        <v>4</v>
      </c>
      <c r="P45" s="7">
        <f t="shared" ref="P45" si="94">IF($A36 &lt;&gt; "Solo",IF(P43-P44&gt;0,P43-P44,""),"")</f>
        <v>2</v>
      </c>
      <c r="Q45" s="7">
        <f t="shared" ref="Q45" si="95">IF($A36 &lt;&gt; "Solo",IF(Q43-Q44&gt;0,Q43-Q44,""),"")</f>
        <v>3</v>
      </c>
      <c r="R45" s="7">
        <f t="shared" ref="R45" si="96">IF($A36 &lt;&gt; "Solo",IF(R43-R44&gt;0,R43-R44,""),"")</f>
        <v>4</v>
      </c>
      <c r="S45" s="7">
        <f t="shared" ref="S45" si="97">IF($A36 &lt;&gt; "Solo",IF(S43-S44&gt;0,S43-S44,""),"")</f>
        <v>5</v>
      </c>
      <c r="T45" s="7">
        <f t="shared" ref="T45" si="98">IF($A36 &lt;&gt; "Solo",IF(T43-T44&gt;0,T43-T44,""),"")</f>
        <v>5</v>
      </c>
      <c r="U45" s="7">
        <f t="shared" si="73"/>
        <v>36</v>
      </c>
      <c r="V45" s="7">
        <f t="shared" si="74"/>
        <v>74</v>
      </c>
    </row>
    <row r="46" spans="1:22" x14ac:dyDescent="0.2">
      <c r="A46" s="2" t="str">
        <f>CONCATENATE(A34, " Best Ball")</f>
        <v>Team 3 Best Ball</v>
      </c>
      <c r="B46" s="7">
        <f>IF(AND(ISBLANK(B40), ISBLANK(B43)),"",MIN(B42,B45))</f>
        <v>6</v>
      </c>
      <c r="C46" s="7">
        <f t="shared" ref="C46" si="99">IF(AND(ISBLANK(C40), ISBLANK(C43)),"",MIN(C42,C45))</f>
        <v>4</v>
      </c>
      <c r="D46" s="7">
        <f t="shared" ref="D46" si="100">IF(AND(ISBLANK(D40), ISBLANK(D43)),"",MIN(D42,D45))</f>
        <v>4</v>
      </c>
      <c r="E46" s="7">
        <f t="shared" ref="E46" si="101">IF(AND(ISBLANK(E40), ISBLANK(E43)),"",MIN(E42,E45))</f>
        <v>3</v>
      </c>
      <c r="F46" s="7">
        <f t="shared" ref="F46" si="102">IF(AND(ISBLANK(F40), ISBLANK(F43)),"",MIN(F42,F45))</f>
        <v>3</v>
      </c>
      <c r="G46" s="7">
        <f t="shared" ref="G46" si="103">IF(AND(ISBLANK(G40), ISBLANK(G43)),"",MIN(G42,G45))</f>
        <v>3</v>
      </c>
      <c r="H46" s="7">
        <f t="shared" ref="H46" si="104">IF(AND(ISBLANK(H40), ISBLANK(H43)),"",MIN(H42,H45))</f>
        <v>3</v>
      </c>
      <c r="I46" s="7">
        <f t="shared" ref="I46" si="105">IF(AND(ISBLANK(I40), ISBLANK(I43)),"",MIN(I42,I45))</f>
        <v>4</v>
      </c>
      <c r="J46" s="7">
        <f t="shared" ref="J46" si="106">IF(AND(ISBLANK(J40), ISBLANK(J43)),"",MIN(J42,J45))</f>
        <v>4</v>
      </c>
      <c r="K46" s="7">
        <f t="shared" si="72"/>
        <v>34</v>
      </c>
      <c r="L46" s="7">
        <f t="shared" ref="L46" si="107">IF(AND(ISBLANK(L40), ISBLANK(L43)),"",MIN(L42,L45))</f>
        <v>4</v>
      </c>
      <c r="M46" s="7">
        <f t="shared" ref="M46" si="108">IF(AND(ISBLANK(M40), ISBLANK(M43)),"",MIN(M42,M45))</f>
        <v>4</v>
      </c>
      <c r="N46" s="7">
        <f t="shared" ref="N46" si="109">IF(AND(ISBLANK(N40), ISBLANK(N43)),"",MIN(N42,N45))</f>
        <v>4</v>
      </c>
      <c r="O46" s="7">
        <f t="shared" ref="O46" si="110">IF(AND(ISBLANK(O40), ISBLANK(O43)),"",MIN(O42,O45))</f>
        <v>3</v>
      </c>
      <c r="P46" s="7">
        <f t="shared" ref="P46" si="111">IF(AND(ISBLANK(P40), ISBLANK(P43)),"",MIN(P42,P45))</f>
        <v>2</v>
      </c>
      <c r="Q46" s="7">
        <f t="shared" ref="Q46" si="112">IF(AND(ISBLANK(Q40), ISBLANK(Q43)),"",MIN(Q42,Q45))</f>
        <v>3</v>
      </c>
      <c r="R46" s="7">
        <f t="shared" ref="R46" si="113">IF(AND(ISBLANK(R40), ISBLANK(R43)),"",MIN(R42,R45))</f>
        <v>4</v>
      </c>
      <c r="S46" s="7">
        <f t="shared" ref="S46" si="114">IF(AND(ISBLANK(S40), ISBLANK(S43)),"",MIN(S42,S45))</f>
        <v>4</v>
      </c>
      <c r="T46" s="7">
        <f t="shared" ref="T46" si="115">IF(AND(ISBLANK(T40), ISBLANK(T43)),"",MIN(T42,T45))</f>
        <v>4</v>
      </c>
      <c r="U46" s="7">
        <f t="shared" si="73"/>
        <v>32</v>
      </c>
      <c r="V46" s="7">
        <f t="shared" si="74"/>
        <v>66</v>
      </c>
    </row>
    <row r="47" spans="1:22" x14ac:dyDescent="0.2">
      <c r="A47" s="2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</row>
    <row r="48" spans="1:22" x14ac:dyDescent="0.2">
      <c r="A48" s="2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</row>
    <row r="49" spans="1:22" x14ac:dyDescent="0.2">
      <c r="A49" s="2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</row>
    <row r="50" spans="1:22" ht="15.75" customHeight="1" x14ac:dyDescent="0.2">
      <c r="A50" s="2"/>
      <c r="B50" s="2"/>
      <c r="C50" s="2"/>
      <c r="D50" s="4" t="s">
        <v>17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spans="1:22" ht="15.75" customHeight="1" x14ac:dyDescent="0.2">
      <c r="A51" s="2" t="s">
        <v>6</v>
      </c>
      <c r="B51" s="2" t="s">
        <v>62</v>
      </c>
      <c r="C51" s="2" t="s">
        <v>2</v>
      </c>
      <c r="D51" s="3" t="s">
        <v>31</v>
      </c>
      <c r="E51" s="4" t="s">
        <v>28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spans="1:22" x14ac:dyDescent="0.2">
      <c r="A52" s="2" t="str" cm="1">
        <f t="array" ref="A52">INDEX(PlayerNames,SUMPRODUCT((PlayerTeamNo=VALUE(RIGHT(A51,1)))*(PlayerPlayerNo=1)*ROW(PlayerNames))-1)</f>
        <v>Alex Freimuth</v>
      </c>
      <c r="B52" s="2" t="str" cm="1">
        <f t="array" ref="B52">INDEX(PlayerTees,SUMPRODUCT((PlayerTeamNo=VALUE(RIGHT(A51,1)))*(PlayerPlayerNo=1)*ROW(PlayerTees))-1)</f>
        <v>Black</v>
      </c>
      <c r="C52" s="2" cm="1">
        <f t="array" ref="C52">IF(MaxIndex &gt; 0,MIN(INDEX(PlayerHandicaps,SUMPRODUCT((PlayerTeamNo=VALUE(RIGHT(A51,1)))*(PlayerPlayerNo=1)*ROW(PlayerHandicaps))-1),MaxIndex),INDEX(PlayerHandicaps,SUMPRODUCT((PlayerTeamNo=VALUE(RIGHT(A51,1)))*(PlayerPlayerNo=1)*ROW(PlayerHandicaps))-1))</f>
        <v>7</v>
      </c>
      <c r="D52" s="2" cm="1">
        <f t="array" ref="D52">IF(C52="","",IF(C52=0,0,IF(INDEX(PlayerGender,SUMPRODUCT((PlayerTeamNo=VALUE(RIGHT(A51,1)))*(PlayerPlayerNo=1)*ROW(PlayerGender))-1)="M",ROUND((C52*(HLOOKUP(B52,MensTees,2,FALSE)/113))+(HLOOKUP(B52,MensTees,3,FALSE)-HLOOKUP(B52,MensTees,4,FALSE)),0),ROUND((C52*(HLOOKUP(B52,WomenTees,2,FALSE)/113))+(HLOOKUP(B52,WomenTees,3,FALSE)-HLOOKUP(B52,WomenTees,4,FALSE)),0))))</f>
        <v>7</v>
      </c>
      <c r="E52" s="2">
        <f>IF(A53 = "Solo",D52,ROUND(D52*HandicapAllowance,0))</f>
        <v>6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spans="1:22" x14ac:dyDescent="0.2">
      <c r="A53" s="2" t="str" cm="1">
        <f t="array" ref="A53">IF(ISERROR(INDEX(PlayerNames,SUMPRODUCT((PlayerTeamNo=VALUE(RIGHT(A51,1)))*(PlayerPlayerNo=2)*ROW(PlayerNames))-1)),"Solo",INDEX(PlayerNames,SUMPRODUCT((PlayerTeamNo=VALUE(RIGHT(A51,1)))*(PlayerPlayerNo=2)*ROW(PlayerNames))-1))</f>
        <v>Patrick Shin</v>
      </c>
      <c r="B53" s="2" t="str" cm="1">
        <f t="array" ref="B53">IF(A53&lt;&gt;"Solo",INDEX(PlayerTees,SUMPRODUCT((PlayerTeamNo=VALUE(RIGHT(A51,1)))*(PlayerPlayerNo=2)*ROW(PlayerTees))-1),"")</f>
        <v>Black</v>
      </c>
      <c r="C53" s="2" cm="1">
        <f t="array" ref="C53">IF(A53 &lt;&gt; "Solo",IF(MaxIndex &gt; 0,MIN(INDEX(PlayerHandicaps,SUMPRODUCT((PlayerTeamNo=VALUE(RIGHT(A51,1)))*(PlayerPlayerNo=2)*ROW(PlayerHandicaps))-1),MaxIndex),INDEX(PlayerHandicaps,SUMPRODUCT((PlayerTeamNo=VALUE(RIGHT(A51,1)))*(PlayerPlayerNo=2)*ROW(PlayerHandicaps))-1)),"")</f>
        <v>0</v>
      </c>
      <c r="D53" s="2" cm="1">
        <f t="array" ref="D53">IF(C53="","",IF(C53=0,0,IF(INDEX(PlayerGender,SUMPRODUCT((PlayerTeamNo=VALUE(RIGHT(A51,1)))*(PlayerPlayerNo=2)*ROW(PlayerGender))-1)="M",ROUND((C53*(HLOOKUP(B53,MensTees,2,FALSE)/113))+(HLOOKUP(B53,MensTees,3,FALSE)-HLOOKUP(B53,MensTees,4,FALSE)),0),ROUND((C53*(HLOOKUP(B53,WomenTees,2,FALSE)/113))+(HLOOKUP(B53,WomenTees,3,FALSE)-HLOOKUP(B53,WomenTees,4,FALSE)),0))))</f>
        <v>0</v>
      </c>
      <c r="E53" s="2">
        <f>IF(A53 &lt;&gt; "Solo",ROUND(D53*HandicapAllowance,0),"")</f>
        <v>0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spans="1:22" x14ac:dyDescent="0.2">
      <c r="A54" s="2" t="s">
        <v>3</v>
      </c>
      <c r="B54" s="5">
        <v>1</v>
      </c>
      <c r="C54" s="5">
        <v>2</v>
      </c>
      <c r="D54" s="5">
        <v>3</v>
      </c>
      <c r="E54" s="5">
        <v>4</v>
      </c>
      <c r="F54" s="5">
        <v>5</v>
      </c>
      <c r="G54" s="5">
        <v>6</v>
      </c>
      <c r="H54" s="5">
        <v>7</v>
      </c>
      <c r="I54" s="5">
        <v>8</v>
      </c>
      <c r="J54" s="5">
        <v>9</v>
      </c>
      <c r="K54" s="5"/>
      <c r="L54" s="5">
        <v>10</v>
      </c>
      <c r="M54" s="5">
        <v>11</v>
      </c>
      <c r="N54" s="5">
        <v>12</v>
      </c>
      <c r="O54" s="5">
        <v>13</v>
      </c>
      <c r="P54" s="5">
        <v>14</v>
      </c>
      <c r="Q54" s="5">
        <v>15</v>
      </c>
      <c r="R54" s="5">
        <v>16</v>
      </c>
      <c r="S54" s="5">
        <v>17</v>
      </c>
      <c r="T54" s="5">
        <v>18</v>
      </c>
      <c r="U54" s="5"/>
      <c r="V54" s="2"/>
    </row>
    <row r="55" spans="1:22" x14ac:dyDescent="0.2">
      <c r="A55" s="2" t="s">
        <v>60</v>
      </c>
      <c r="B55" s="6" cm="1">
        <f t="array" ref="B55">INDEX(HoleParM,B54,0)</f>
        <v>4</v>
      </c>
      <c r="C55" s="6" cm="1">
        <f t="array" ref="C55">INDEX(HoleParM,C54,0)</f>
        <v>3</v>
      </c>
      <c r="D55" s="6" cm="1">
        <f t="array" ref="D55">INDEX(HoleParM,D54,0)</f>
        <v>5</v>
      </c>
      <c r="E55" s="6" cm="1">
        <f t="array" ref="E55">INDEX(HoleParM,E54,0)</f>
        <v>4</v>
      </c>
      <c r="F55" s="6" cm="1">
        <f t="array" ref="F55">INDEX(HoleParM,F54,0)</f>
        <v>4</v>
      </c>
      <c r="G55" s="6" cm="1">
        <f t="array" ref="G55">INDEX(HoleParM,G54,0)</f>
        <v>4</v>
      </c>
      <c r="H55" s="6" cm="1">
        <f t="array" ref="H55">INDEX(HoleParM,H54,0)</f>
        <v>3</v>
      </c>
      <c r="I55" s="6" cm="1">
        <f t="array" ref="I55">INDEX(HoleParM,I54,0)</f>
        <v>5</v>
      </c>
      <c r="J55" s="6" cm="1">
        <f t="array" ref="J55">INDEX(HoleParM,J54,0)</f>
        <v>4</v>
      </c>
      <c r="K55" s="7">
        <f>IF(SUM(B55:J55)&gt;0,SUM(B55:J55),"")</f>
        <v>36</v>
      </c>
      <c r="L55" s="6" cm="1">
        <f t="array" ref="L55">INDEX(HoleParM,L54,0)</f>
        <v>5</v>
      </c>
      <c r="M55" s="6" cm="1">
        <f t="array" ref="M55">INDEX(HoleParM,M54,0)</f>
        <v>4</v>
      </c>
      <c r="N55" s="6" cm="1">
        <f t="array" ref="N55">INDEX(HoleParM,N54,0)</f>
        <v>5</v>
      </c>
      <c r="O55" s="6" cm="1">
        <f t="array" ref="O55">INDEX(HoleParM,O54,0)</f>
        <v>3</v>
      </c>
      <c r="P55" s="6" cm="1">
        <f t="array" ref="P55">INDEX(HoleParM,P54,0)</f>
        <v>4</v>
      </c>
      <c r="Q55" s="6" cm="1">
        <f t="array" ref="Q55">INDEX(HoleParM,Q54,0)</f>
        <v>4</v>
      </c>
      <c r="R55" s="6" cm="1">
        <f t="array" ref="R55">INDEX(HoleParM,R54,0)</f>
        <v>3</v>
      </c>
      <c r="S55" s="6" cm="1">
        <f t="array" ref="S55">INDEX(HoleParM,S54,0)</f>
        <v>4</v>
      </c>
      <c r="T55" s="6" cm="1">
        <f t="array" ref="T55">INDEX(HoleParM,T54,0)</f>
        <v>4</v>
      </c>
      <c r="U55" s="7">
        <f>IF(SUM(L55:T55)&gt;0,SUM(L55:T55),"")</f>
        <v>36</v>
      </c>
      <c r="V55" s="7">
        <f>IF((SUM(B55:J55)+SUM(L55:T55))&gt;0,SUM(B55:J55)+SUM(L55:T55),"")</f>
        <v>72</v>
      </c>
    </row>
    <row r="56" spans="1:22" x14ac:dyDescent="0.2">
      <c r="A56" s="2" t="s">
        <v>1</v>
      </c>
      <c r="B56" s="6" cm="1">
        <f t="array" ref="B56">INDEX(HoleHandicapM,B54,0)</f>
        <v>11</v>
      </c>
      <c r="C56" s="6" cm="1">
        <f t="array" ref="C56">INDEX(HoleHandicapM,C54,0)</f>
        <v>17</v>
      </c>
      <c r="D56" s="6" cm="1">
        <f t="array" ref="D56">INDEX(HoleHandicapM,D54,0)</f>
        <v>3</v>
      </c>
      <c r="E56" s="6" cm="1">
        <f t="array" ref="E56">INDEX(HoleHandicapM,E54,0)</f>
        <v>5</v>
      </c>
      <c r="F56" s="6" cm="1">
        <f t="array" ref="F56">INDEX(HoleHandicapM,F54,0)</f>
        <v>7</v>
      </c>
      <c r="G56" s="6" cm="1">
        <f t="array" ref="G56">INDEX(HoleHandicapM,G54,0)</f>
        <v>9</v>
      </c>
      <c r="H56" s="6" cm="1">
        <f t="array" ref="H56">INDEX(HoleHandicapM,H54,0)</f>
        <v>15</v>
      </c>
      <c r="I56" s="6" cm="1">
        <f t="array" ref="I56">INDEX(HoleHandicapM,I54,0)</f>
        <v>1</v>
      </c>
      <c r="J56" s="6" cm="1">
        <f t="array" ref="J56">INDEX(HoleHandicapM,J54,0)</f>
        <v>13</v>
      </c>
      <c r="K56" s="6" t="s">
        <v>63</v>
      </c>
      <c r="L56" s="6" cm="1">
        <f t="array" ref="L56">INDEX(HoleHandicapM,L54,0)</f>
        <v>4</v>
      </c>
      <c r="M56" s="6" cm="1">
        <f t="array" ref="M56">INDEX(HoleHandicapM,M54,0)</f>
        <v>18</v>
      </c>
      <c r="N56" s="6" cm="1">
        <f t="array" ref="N56">INDEX(HoleHandicapM,N54,0)</f>
        <v>10</v>
      </c>
      <c r="O56" s="6" cm="1">
        <f t="array" ref="O56">INDEX(HoleHandicapM,O54,0)</f>
        <v>12</v>
      </c>
      <c r="P56" s="6" cm="1">
        <f t="array" ref="P56">INDEX(HoleHandicapM,P54,0)</f>
        <v>2</v>
      </c>
      <c r="Q56" s="6" cm="1">
        <f t="array" ref="Q56">INDEX(HoleHandicapM,Q54,0)</f>
        <v>8</v>
      </c>
      <c r="R56" s="6" cm="1">
        <f t="array" ref="R56">INDEX(HoleHandicapM,R54,0)</f>
        <v>14</v>
      </c>
      <c r="S56" s="6" cm="1">
        <f t="array" ref="S56">INDEX(HoleHandicapM,S54,0)</f>
        <v>16</v>
      </c>
      <c r="T56" s="6" cm="1">
        <f t="array" ref="T56">INDEX(HoleHandicapM,T54,0)</f>
        <v>6</v>
      </c>
      <c r="U56" s="6" t="s">
        <v>64</v>
      </c>
      <c r="V56" s="2" t="s">
        <v>61</v>
      </c>
    </row>
    <row r="57" spans="1:22" x14ac:dyDescent="0.2">
      <c r="A57" s="2" t="str">
        <f>CONCATENATE(A52, " Gross")</f>
        <v>Alex Freimuth Gross</v>
      </c>
      <c r="B57" s="7">
        <v>4</v>
      </c>
      <c r="C57" s="7">
        <v>2</v>
      </c>
      <c r="D57" s="7">
        <v>6</v>
      </c>
      <c r="E57" s="7">
        <v>4</v>
      </c>
      <c r="F57" s="7">
        <v>4</v>
      </c>
      <c r="G57" s="7">
        <v>4</v>
      </c>
      <c r="H57" s="7">
        <v>3</v>
      </c>
      <c r="I57" s="7">
        <v>6</v>
      </c>
      <c r="J57" s="7">
        <v>4</v>
      </c>
      <c r="K57" s="7">
        <f t="shared" ref="K57:K63" si="116">IF(OR(ISBLANK(B57),B57=""),"",SUM(B57:J57))</f>
        <v>37</v>
      </c>
      <c r="L57" s="7">
        <v>5</v>
      </c>
      <c r="M57" s="7">
        <v>3</v>
      </c>
      <c r="N57" s="7">
        <v>4</v>
      </c>
      <c r="O57" s="7">
        <v>3</v>
      </c>
      <c r="P57" s="7">
        <v>4</v>
      </c>
      <c r="Q57" s="7">
        <v>4</v>
      </c>
      <c r="R57" s="7">
        <v>3</v>
      </c>
      <c r="S57" s="7">
        <v>4</v>
      </c>
      <c r="T57" s="7">
        <v>5</v>
      </c>
      <c r="U57" s="7">
        <f t="shared" ref="U57:U63" si="117">IF(OR(ISBLANK(L57),L57=""),"",SUM(L57:T57))</f>
        <v>35</v>
      </c>
      <c r="V57" s="7">
        <f t="shared" ref="V57:V63" si="118">IF(OR(ISBLANK(B57),B57=""),"",SUM(B57:J57)+SUM(L57:T57))</f>
        <v>72</v>
      </c>
    </row>
    <row r="58" spans="1:22" x14ac:dyDescent="0.2">
      <c r="A58" s="2" t="str">
        <f>CONCATENATE(A52, " Handicap Strokes")</f>
        <v>Alex Freimuth Handicap Strokes</v>
      </c>
      <c r="B58" s="7">
        <f t="shared" ref="B58:J58" si="119">ROUNDDOWN($E52/18,0)+IF(MOD($E52,18)&gt;=B56,1,0)</f>
        <v>0</v>
      </c>
      <c r="C58" s="7">
        <f t="shared" si="119"/>
        <v>0</v>
      </c>
      <c r="D58" s="7">
        <f t="shared" si="119"/>
        <v>1</v>
      </c>
      <c r="E58" s="7">
        <f t="shared" si="119"/>
        <v>1</v>
      </c>
      <c r="F58" s="7">
        <f t="shared" si="119"/>
        <v>0</v>
      </c>
      <c r="G58" s="7">
        <f t="shared" si="119"/>
        <v>0</v>
      </c>
      <c r="H58" s="7">
        <f t="shared" si="119"/>
        <v>0</v>
      </c>
      <c r="I58" s="7">
        <f t="shared" si="119"/>
        <v>1</v>
      </c>
      <c r="J58" s="7">
        <f t="shared" si="119"/>
        <v>0</v>
      </c>
      <c r="K58" s="7">
        <f t="shared" si="116"/>
        <v>3</v>
      </c>
      <c r="L58" s="7">
        <f t="shared" ref="L58:T58" si="120">ROUNDDOWN($E52/18,0)+IF(MOD($E52,18)&gt;=L56,1,0)</f>
        <v>1</v>
      </c>
      <c r="M58" s="7">
        <f t="shared" si="120"/>
        <v>0</v>
      </c>
      <c r="N58" s="7">
        <f t="shared" si="120"/>
        <v>0</v>
      </c>
      <c r="O58" s="7">
        <f t="shared" si="120"/>
        <v>0</v>
      </c>
      <c r="P58" s="7">
        <f t="shared" si="120"/>
        <v>1</v>
      </c>
      <c r="Q58" s="7">
        <f t="shared" si="120"/>
        <v>0</v>
      </c>
      <c r="R58" s="7">
        <f t="shared" si="120"/>
        <v>0</v>
      </c>
      <c r="S58" s="7">
        <f t="shared" si="120"/>
        <v>0</v>
      </c>
      <c r="T58" s="7">
        <f t="shared" si="120"/>
        <v>1</v>
      </c>
      <c r="U58" s="7">
        <f t="shared" si="117"/>
        <v>3</v>
      </c>
      <c r="V58" s="7">
        <f t="shared" si="118"/>
        <v>6</v>
      </c>
    </row>
    <row r="59" spans="1:22" x14ac:dyDescent="0.2">
      <c r="A59" s="2" t="str">
        <f>CONCATENATE(A52, " Net (Gross - HCP)")</f>
        <v>Alex Freimuth Net (Gross - HCP)</v>
      </c>
      <c r="B59" s="7">
        <f t="shared" ref="B59:J59" si="121">IF(B57-B58&gt;0,B57-B58,"")</f>
        <v>4</v>
      </c>
      <c r="C59" s="7">
        <f t="shared" si="121"/>
        <v>2</v>
      </c>
      <c r="D59" s="7">
        <f t="shared" si="121"/>
        <v>5</v>
      </c>
      <c r="E59" s="7">
        <f t="shared" si="121"/>
        <v>3</v>
      </c>
      <c r="F59" s="7">
        <f t="shared" si="121"/>
        <v>4</v>
      </c>
      <c r="G59" s="7">
        <f t="shared" si="121"/>
        <v>4</v>
      </c>
      <c r="H59" s="7">
        <f t="shared" si="121"/>
        <v>3</v>
      </c>
      <c r="I59" s="7">
        <f t="shared" si="121"/>
        <v>5</v>
      </c>
      <c r="J59" s="7">
        <f t="shared" si="121"/>
        <v>4</v>
      </c>
      <c r="K59" s="7">
        <f t="shared" si="116"/>
        <v>34</v>
      </c>
      <c r="L59" s="7">
        <f t="shared" ref="L59:T59" si="122">IF(L57-L58&gt;0,L57-L58,"")</f>
        <v>4</v>
      </c>
      <c r="M59" s="7">
        <f t="shared" si="122"/>
        <v>3</v>
      </c>
      <c r="N59" s="7">
        <f t="shared" si="122"/>
        <v>4</v>
      </c>
      <c r="O59" s="7">
        <f t="shared" si="122"/>
        <v>3</v>
      </c>
      <c r="P59" s="7">
        <f t="shared" si="122"/>
        <v>3</v>
      </c>
      <c r="Q59" s="7">
        <f t="shared" si="122"/>
        <v>4</v>
      </c>
      <c r="R59" s="7">
        <f t="shared" si="122"/>
        <v>3</v>
      </c>
      <c r="S59" s="7">
        <f t="shared" si="122"/>
        <v>4</v>
      </c>
      <c r="T59" s="7">
        <f t="shared" si="122"/>
        <v>4</v>
      </c>
      <c r="U59" s="7">
        <f t="shared" si="117"/>
        <v>32</v>
      </c>
      <c r="V59" s="7">
        <f t="shared" si="118"/>
        <v>66</v>
      </c>
    </row>
    <row r="60" spans="1:22" x14ac:dyDescent="0.2">
      <c r="A60" s="2" t="str">
        <f>IF(A53 &lt;&gt; "Solo",CONCATENATE(A53, " Gross"),"")</f>
        <v>Patrick Shin Gross</v>
      </c>
      <c r="B60" s="7">
        <v>4</v>
      </c>
      <c r="C60" s="7">
        <v>3</v>
      </c>
      <c r="D60" s="7">
        <v>5</v>
      </c>
      <c r="E60" s="7">
        <v>5</v>
      </c>
      <c r="F60" s="7">
        <v>4</v>
      </c>
      <c r="G60" s="7">
        <v>5</v>
      </c>
      <c r="H60" s="7">
        <v>3</v>
      </c>
      <c r="I60" s="7">
        <v>4</v>
      </c>
      <c r="J60" s="7">
        <v>3</v>
      </c>
      <c r="K60" s="7">
        <f t="shared" si="116"/>
        <v>36</v>
      </c>
      <c r="L60" s="7">
        <v>4</v>
      </c>
      <c r="M60" s="7">
        <v>6</v>
      </c>
      <c r="N60" s="7">
        <v>4</v>
      </c>
      <c r="O60" s="7">
        <v>4</v>
      </c>
      <c r="P60" s="7">
        <v>4</v>
      </c>
      <c r="Q60" s="7">
        <v>3</v>
      </c>
      <c r="R60" s="7">
        <v>4</v>
      </c>
      <c r="S60" s="7">
        <v>5</v>
      </c>
      <c r="T60" s="7">
        <v>4</v>
      </c>
      <c r="U60" s="7">
        <f t="shared" si="117"/>
        <v>38</v>
      </c>
      <c r="V60" s="7">
        <f t="shared" si="118"/>
        <v>74</v>
      </c>
    </row>
    <row r="61" spans="1:22" x14ac:dyDescent="0.2">
      <c r="A61" s="2" t="str">
        <f>IF(A53 &lt;&gt; "Solo",CONCATENATE(A53, " Handicap Strokes"),"")</f>
        <v>Patrick Shin Handicap Strokes</v>
      </c>
      <c r="B61" s="7">
        <f>IF($A53 &lt;&gt; "Solo",ROUNDDOWN($E53/18,0)+IF(MOD($E53,18)&gt;=B56,1,0),"")</f>
        <v>0</v>
      </c>
      <c r="C61" s="7">
        <f t="shared" ref="C61:J61" si="123">IF($A53 &lt;&gt; "Solo",ROUNDDOWN($E53/18,0)+IF(MOD($E53,18)&gt;=C56,1,0),"")</f>
        <v>0</v>
      </c>
      <c r="D61" s="7">
        <f t="shared" si="123"/>
        <v>0</v>
      </c>
      <c r="E61" s="7">
        <f t="shared" si="123"/>
        <v>0</v>
      </c>
      <c r="F61" s="7">
        <f t="shared" si="123"/>
        <v>0</v>
      </c>
      <c r="G61" s="7">
        <f t="shared" si="123"/>
        <v>0</v>
      </c>
      <c r="H61" s="7">
        <f t="shared" si="123"/>
        <v>0</v>
      </c>
      <c r="I61" s="7">
        <f t="shared" si="123"/>
        <v>0</v>
      </c>
      <c r="J61" s="7">
        <f t="shared" si="123"/>
        <v>0</v>
      </c>
      <c r="K61" s="7">
        <f t="shared" si="116"/>
        <v>0</v>
      </c>
      <c r="L61" s="7">
        <f t="shared" ref="L61:T61" si="124">IF($A53 &lt;&gt; "Solo",ROUNDDOWN($E53/18,0)+IF(MOD($E53,18)&gt;=L56,1,0),"")</f>
        <v>0</v>
      </c>
      <c r="M61" s="7">
        <f t="shared" si="124"/>
        <v>0</v>
      </c>
      <c r="N61" s="7">
        <f t="shared" si="124"/>
        <v>0</v>
      </c>
      <c r="O61" s="7">
        <f t="shared" si="124"/>
        <v>0</v>
      </c>
      <c r="P61" s="7">
        <f t="shared" si="124"/>
        <v>0</v>
      </c>
      <c r="Q61" s="7">
        <f t="shared" si="124"/>
        <v>0</v>
      </c>
      <c r="R61" s="7">
        <f t="shared" si="124"/>
        <v>0</v>
      </c>
      <c r="S61" s="7">
        <f t="shared" si="124"/>
        <v>0</v>
      </c>
      <c r="T61" s="7">
        <f t="shared" si="124"/>
        <v>0</v>
      </c>
      <c r="U61" s="7">
        <f t="shared" si="117"/>
        <v>0</v>
      </c>
      <c r="V61" s="7">
        <f t="shared" si="118"/>
        <v>0</v>
      </c>
    </row>
    <row r="62" spans="1:22" x14ac:dyDescent="0.2">
      <c r="A62" s="2" t="str">
        <f>IF(A53 &lt;&gt; "Solo",CONCATENATE(A53, " Net (Gross - HCP)"),"")</f>
        <v>Patrick Shin Net (Gross - HCP)</v>
      </c>
      <c r="B62" s="7">
        <f t="shared" ref="B62" si="125">IF($A53 &lt;&gt; "Solo",IF(B60-B61&gt;0,B60-B61,""),"")</f>
        <v>4</v>
      </c>
      <c r="C62" s="7">
        <f t="shared" ref="C62" si="126">IF($A53 &lt;&gt; "Solo",IF(C60-C61&gt;0,C60-C61,""),"")</f>
        <v>3</v>
      </c>
      <c r="D62" s="7">
        <f t="shared" ref="D62" si="127">IF($A53 &lt;&gt; "Solo",IF(D60-D61&gt;0,D60-D61,""),"")</f>
        <v>5</v>
      </c>
      <c r="E62" s="7">
        <f t="shared" ref="E62" si="128">IF($A53 &lt;&gt; "Solo",IF(E60-E61&gt;0,E60-E61,""),"")</f>
        <v>5</v>
      </c>
      <c r="F62" s="7">
        <f t="shared" ref="F62" si="129">IF($A53 &lt;&gt; "Solo",IF(F60-F61&gt;0,F60-F61,""),"")</f>
        <v>4</v>
      </c>
      <c r="G62" s="7">
        <f t="shared" ref="G62" si="130">IF($A53 &lt;&gt; "Solo",IF(G60-G61&gt;0,G60-G61,""),"")</f>
        <v>5</v>
      </c>
      <c r="H62" s="7">
        <f t="shared" ref="H62" si="131">IF($A53 &lt;&gt; "Solo",IF(H60-H61&gt;0,H60-H61,""),"")</f>
        <v>3</v>
      </c>
      <c r="I62" s="7">
        <f t="shared" ref="I62" si="132">IF($A53 &lt;&gt; "Solo",IF(I60-I61&gt;0,I60-I61,""),"")</f>
        <v>4</v>
      </c>
      <c r="J62" s="7">
        <f t="shared" ref="J62" si="133">IF($A53 &lt;&gt; "Solo",IF(J60-J61&gt;0,J60-J61,""),"")</f>
        <v>3</v>
      </c>
      <c r="K62" s="7">
        <f t="shared" si="116"/>
        <v>36</v>
      </c>
      <c r="L62" s="7">
        <f t="shared" ref="L62" si="134">IF($A53 &lt;&gt; "Solo",IF(L60-L61&gt;0,L60-L61,""),"")</f>
        <v>4</v>
      </c>
      <c r="M62" s="7">
        <f t="shared" ref="M62" si="135">IF($A53 &lt;&gt; "Solo",IF(M60-M61&gt;0,M60-M61,""),"")</f>
        <v>6</v>
      </c>
      <c r="N62" s="7">
        <f t="shared" ref="N62" si="136">IF($A53 &lt;&gt; "Solo",IF(N60-N61&gt;0,N60-N61,""),"")</f>
        <v>4</v>
      </c>
      <c r="O62" s="7">
        <f t="shared" ref="O62" si="137">IF($A53 &lt;&gt; "Solo",IF(O60-O61&gt;0,O60-O61,""),"")</f>
        <v>4</v>
      </c>
      <c r="P62" s="7">
        <f t="shared" ref="P62" si="138">IF($A53 &lt;&gt; "Solo",IF(P60-P61&gt;0,P60-P61,""),"")</f>
        <v>4</v>
      </c>
      <c r="Q62" s="7">
        <f t="shared" ref="Q62" si="139">IF($A53 &lt;&gt; "Solo",IF(Q60-Q61&gt;0,Q60-Q61,""),"")</f>
        <v>3</v>
      </c>
      <c r="R62" s="7">
        <f t="shared" ref="R62" si="140">IF($A53 &lt;&gt; "Solo",IF(R60-R61&gt;0,R60-R61,""),"")</f>
        <v>4</v>
      </c>
      <c r="S62" s="7">
        <f t="shared" ref="S62" si="141">IF($A53 &lt;&gt; "Solo",IF(S60-S61&gt;0,S60-S61,""),"")</f>
        <v>5</v>
      </c>
      <c r="T62" s="7">
        <f t="shared" ref="T62" si="142">IF($A53 &lt;&gt; "Solo",IF(T60-T61&gt;0,T60-T61,""),"")</f>
        <v>4</v>
      </c>
      <c r="U62" s="7">
        <f t="shared" si="117"/>
        <v>38</v>
      </c>
      <c r="V62" s="7">
        <f t="shared" si="118"/>
        <v>74</v>
      </c>
    </row>
    <row r="63" spans="1:22" x14ac:dyDescent="0.2">
      <c r="A63" s="2" t="str">
        <f>CONCATENATE(A51, " Best Ball")</f>
        <v>Team 4 Best Ball</v>
      </c>
      <c r="B63" s="7">
        <f>IF(AND(ISBLANK(B57), ISBLANK(B60)),"",MIN(B59,B62))</f>
        <v>4</v>
      </c>
      <c r="C63" s="7">
        <f t="shared" ref="C63" si="143">IF(AND(ISBLANK(C57), ISBLANK(C60)),"",MIN(C59,C62))</f>
        <v>2</v>
      </c>
      <c r="D63" s="7">
        <f t="shared" ref="D63" si="144">IF(AND(ISBLANK(D57), ISBLANK(D60)),"",MIN(D59,D62))</f>
        <v>5</v>
      </c>
      <c r="E63" s="7">
        <f t="shared" ref="E63" si="145">IF(AND(ISBLANK(E57), ISBLANK(E60)),"",MIN(E59,E62))</f>
        <v>3</v>
      </c>
      <c r="F63" s="7">
        <f t="shared" ref="F63" si="146">IF(AND(ISBLANK(F57), ISBLANK(F60)),"",MIN(F59,F62))</f>
        <v>4</v>
      </c>
      <c r="G63" s="7">
        <f t="shared" ref="G63" si="147">IF(AND(ISBLANK(G57), ISBLANK(G60)),"",MIN(G59,G62))</f>
        <v>4</v>
      </c>
      <c r="H63" s="7">
        <f t="shared" ref="H63" si="148">IF(AND(ISBLANK(H57), ISBLANK(H60)),"",MIN(H59,H62))</f>
        <v>3</v>
      </c>
      <c r="I63" s="7">
        <f t="shared" ref="I63" si="149">IF(AND(ISBLANK(I57), ISBLANK(I60)),"",MIN(I59,I62))</f>
        <v>4</v>
      </c>
      <c r="J63" s="7">
        <f t="shared" ref="J63" si="150">IF(AND(ISBLANK(J57), ISBLANK(J60)),"",MIN(J59,J62))</f>
        <v>3</v>
      </c>
      <c r="K63" s="7">
        <f t="shared" si="116"/>
        <v>32</v>
      </c>
      <c r="L63" s="7">
        <f t="shared" ref="L63" si="151">IF(AND(ISBLANK(L57), ISBLANK(L60)),"",MIN(L59,L62))</f>
        <v>4</v>
      </c>
      <c r="M63" s="7">
        <f t="shared" ref="M63" si="152">IF(AND(ISBLANK(M57), ISBLANK(M60)),"",MIN(M59,M62))</f>
        <v>3</v>
      </c>
      <c r="N63" s="7">
        <f t="shared" ref="N63" si="153">IF(AND(ISBLANK(N57), ISBLANK(N60)),"",MIN(N59,N62))</f>
        <v>4</v>
      </c>
      <c r="O63" s="7">
        <f t="shared" ref="O63" si="154">IF(AND(ISBLANK(O57), ISBLANK(O60)),"",MIN(O59,O62))</f>
        <v>3</v>
      </c>
      <c r="P63" s="7">
        <f t="shared" ref="P63" si="155">IF(AND(ISBLANK(P57), ISBLANK(P60)),"",MIN(P59,P62))</f>
        <v>3</v>
      </c>
      <c r="Q63" s="7">
        <f t="shared" ref="Q63" si="156">IF(AND(ISBLANK(Q57), ISBLANK(Q60)),"",MIN(Q59,Q62))</f>
        <v>3</v>
      </c>
      <c r="R63" s="7">
        <f t="shared" ref="R63" si="157">IF(AND(ISBLANK(R57), ISBLANK(R60)),"",MIN(R59,R62))</f>
        <v>3</v>
      </c>
      <c r="S63" s="7">
        <f t="shared" ref="S63" si="158">IF(AND(ISBLANK(S57), ISBLANK(S60)),"",MIN(S59,S62))</f>
        <v>4</v>
      </c>
      <c r="T63" s="7">
        <f t="shared" ref="T63" si="159">IF(AND(ISBLANK(T57), ISBLANK(T60)),"",MIN(T59,T62))</f>
        <v>4</v>
      </c>
      <c r="U63" s="7">
        <f t="shared" si="117"/>
        <v>31</v>
      </c>
      <c r="V63" s="7">
        <f t="shared" si="118"/>
        <v>63</v>
      </c>
    </row>
    <row r="64" spans="1:22" ht="15.75" customHeight="1" x14ac:dyDescent="0.2">
      <c r="A64" s="2"/>
      <c r="B64" s="2"/>
      <c r="C64" s="2"/>
      <c r="D64" s="4" t="s">
        <v>17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spans="1:22" ht="15.75" customHeight="1" x14ac:dyDescent="0.2">
      <c r="A65" s="2" t="s">
        <v>7</v>
      </c>
      <c r="B65" s="2" t="s">
        <v>62</v>
      </c>
      <c r="C65" s="2" t="s">
        <v>2</v>
      </c>
      <c r="D65" s="3" t="s">
        <v>31</v>
      </c>
      <c r="E65" s="4" t="s">
        <v>28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spans="1:22" x14ac:dyDescent="0.2">
      <c r="A66" s="2" t="str" cm="1">
        <f t="array" ref="A66">INDEX(PlayerNames,SUMPRODUCT((PlayerTeamNo=VALUE(RIGHT(A65,1)))*(PlayerPlayerNo=1)*ROW(PlayerNames))-1)</f>
        <v>Jerry Ohu</v>
      </c>
      <c r="B66" s="2" t="str" cm="1">
        <f t="array" ref="B66">INDEX(PlayerTees,SUMPRODUCT((PlayerTeamNo=VALUE(RIGHT(A65,1)))*(PlayerPlayerNo=1)*ROW(PlayerTees))-1)</f>
        <v>Black</v>
      </c>
      <c r="C66" s="2" cm="1">
        <f t="array" ref="C66">IF(MaxIndex &gt; 0,MIN(INDEX(PlayerHandicaps,SUMPRODUCT((PlayerTeamNo=VALUE(RIGHT(A65,1)))*(PlayerPlayerNo=1)*ROW(PlayerHandicaps))-1),MaxIndex),INDEX(PlayerHandicaps,SUMPRODUCT((PlayerTeamNo=VALUE(RIGHT(A65,1)))*(PlayerPlayerNo=1)*ROW(PlayerHandicaps))-1))</f>
        <v>12.6</v>
      </c>
      <c r="D66" s="2" cm="1">
        <f t="array" ref="D66">IF(C66="","",IF(C66=0,0,IF(INDEX(PlayerGender,SUMPRODUCT((PlayerTeamNo=VALUE(RIGHT(A65,1)))*(PlayerPlayerNo=1)*ROW(PlayerGender))-1)="M",ROUND((C66*(HLOOKUP(B66,MensTees,2,FALSE)/113))+(HLOOKUP(B66,MensTees,3,FALSE)-HLOOKUP(B66,MensTees,4,FALSE)),0),ROUND((C66*(HLOOKUP(B66,WomenTees,2,FALSE)/113))+(HLOOKUP(B66,WomenTees,3,FALSE)-HLOOKUP(B66,WomenTees,4,FALSE)),0))))</f>
        <v>14</v>
      </c>
      <c r="E66" s="2">
        <f>IF(A67 = "Solo",D66,ROUND(D66*HandicapAllowance,0))</f>
        <v>13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spans="1:22" x14ac:dyDescent="0.2">
      <c r="A67" s="2" t="str" cm="1">
        <f t="array" ref="A67">IF(ISERROR(INDEX(PlayerNames,SUMPRODUCT((PlayerTeamNo=VALUE(RIGHT(A65,1)))*(PlayerPlayerNo=2)*ROW(PlayerNames))-1)),"Solo",INDEX(PlayerNames,SUMPRODUCT((PlayerTeamNo=VALUE(RIGHT(A65,1)))*(PlayerPlayerNo=2)*ROW(PlayerNames))-1))</f>
        <v>John Day</v>
      </c>
      <c r="B67" s="2" t="str" cm="1">
        <f t="array" ref="B67">IF(A67&lt;&gt;"Solo",INDEX(PlayerTees,SUMPRODUCT((PlayerTeamNo=VALUE(RIGHT(A65,1)))*(PlayerPlayerNo=2)*ROW(PlayerTees))-1),"")</f>
        <v>White</v>
      </c>
      <c r="C67" s="2" cm="1">
        <f t="array" ref="C67">IF(A67 &lt;&gt; "Solo",IF(MaxIndex &gt; 0,MIN(INDEX(PlayerHandicaps,SUMPRODUCT((PlayerTeamNo=VALUE(RIGHT(A65,1)))*(PlayerPlayerNo=2)*ROW(PlayerHandicaps))-1),MaxIndex),INDEX(PlayerHandicaps,SUMPRODUCT((PlayerTeamNo=VALUE(RIGHT(A65,1)))*(PlayerPlayerNo=2)*ROW(PlayerHandicaps))-1)),"")</f>
        <v>36</v>
      </c>
      <c r="D67" s="2" cm="1">
        <f t="array" ref="D67">IF(C67="","",IF(C67=0,0,IF(INDEX(PlayerGender,SUMPRODUCT((PlayerTeamNo=VALUE(RIGHT(A65,1)))*(PlayerPlayerNo=2)*ROW(PlayerGender))-1)="M",ROUND((C67*(HLOOKUP(B67,MensTees,2,FALSE)/113))+(HLOOKUP(B67,MensTees,3,FALSE)-HLOOKUP(B67,MensTees,4,FALSE)),0),ROUND((C67*(HLOOKUP(B67,WomenTees,2,FALSE)/113))+(HLOOKUP(B67,WomenTees,3,FALSE)-HLOOKUP(B67,WomenTees,4,FALSE)),0))))</f>
        <v>33</v>
      </c>
      <c r="E67" s="2">
        <f>IF(A67 &lt;&gt; "Solo",ROUND(D67*HandicapAllowance,0),"")</f>
        <v>30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spans="1:22" x14ac:dyDescent="0.2">
      <c r="A68" s="2" t="s">
        <v>3</v>
      </c>
      <c r="B68" s="5">
        <v>1</v>
      </c>
      <c r="C68" s="5">
        <v>2</v>
      </c>
      <c r="D68" s="5">
        <v>3</v>
      </c>
      <c r="E68" s="5">
        <v>4</v>
      </c>
      <c r="F68" s="5">
        <v>5</v>
      </c>
      <c r="G68" s="5">
        <v>6</v>
      </c>
      <c r="H68" s="5">
        <v>7</v>
      </c>
      <c r="I68" s="5">
        <v>8</v>
      </c>
      <c r="J68" s="5">
        <v>9</v>
      </c>
      <c r="K68" s="5"/>
      <c r="L68" s="5">
        <v>10</v>
      </c>
      <c r="M68" s="5">
        <v>11</v>
      </c>
      <c r="N68" s="5">
        <v>12</v>
      </c>
      <c r="O68" s="5">
        <v>13</v>
      </c>
      <c r="P68" s="5">
        <v>14</v>
      </c>
      <c r="Q68" s="5">
        <v>15</v>
      </c>
      <c r="R68" s="5">
        <v>16</v>
      </c>
      <c r="S68" s="5">
        <v>17</v>
      </c>
      <c r="T68" s="5">
        <v>18</v>
      </c>
      <c r="U68" s="5"/>
      <c r="V68" s="2"/>
    </row>
    <row r="69" spans="1:22" x14ac:dyDescent="0.2">
      <c r="A69" s="2" t="s">
        <v>60</v>
      </c>
      <c r="B69" s="6" cm="1">
        <f t="array" ref="B69">INDEX(HoleParM,B68,0)</f>
        <v>4</v>
      </c>
      <c r="C69" s="6" cm="1">
        <f t="array" ref="C69">INDEX(HoleParM,C68,0)</f>
        <v>3</v>
      </c>
      <c r="D69" s="6" cm="1">
        <f t="array" ref="D69">INDEX(HoleParM,D68,0)</f>
        <v>5</v>
      </c>
      <c r="E69" s="6" cm="1">
        <f t="array" ref="E69">INDEX(HoleParM,E68,0)</f>
        <v>4</v>
      </c>
      <c r="F69" s="6" cm="1">
        <f t="array" ref="F69">INDEX(HoleParM,F68,0)</f>
        <v>4</v>
      </c>
      <c r="G69" s="6" cm="1">
        <f t="array" ref="G69">INDEX(HoleParM,G68,0)</f>
        <v>4</v>
      </c>
      <c r="H69" s="6" cm="1">
        <f t="array" ref="H69">INDEX(HoleParM,H68,0)</f>
        <v>3</v>
      </c>
      <c r="I69" s="6" cm="1">
        <f t="array" ref="I69">INDEX(HoleParM,I68,0)</f>
        <v>5</v>
      </c>
      <c r="J69" s="6" cm="1">
        <f t="array" ref="J69">INDEX(HoleParM,J68,0)</f>
        <v>4</v>
      </c>
      <c r="K69" s="7">
        <f>IF(SUM(B69:J69)&gt;0,SUM(B69:J69),"")</f>
        <v>36</v>
      </c>
      <c r="L69" s="6" cm="1">
        <f t="array" ref="L69">INDEX(HoleParM,L68,0)</f>
        <v>5</v>
      </c>
      <c r="M69" s="6" cm="1">
        <f t="array" ref="M69">INDEX(HoleParM,M68,0)</f>
        <v>4</v>
      </c>
      <c r="N69" s="6" cm="1">
        <f t="array" ref="N69">INDEX(HoleParM,N68,0)</f>
        <v>5</v>
      </c>
      <c r="O69" s="6" cm="1">
        <f t="array" ref="O69">INDEX(HoleParM,O68,0)</f>
        <v>3</v>
      </c>
      <c r="P69" s="6" cm="1">
        <f t="array" ref="P69">INDEX(HoleParM,P68,0)</f>
        <v>4</v>
      </c>
      <c r="Q69" s="6" cm="1">
        <f t="array" ref="Q69">INDEX(HoleParM,Q68,0)</f>
        <v>4</v>
      </c>
      <c r="R69" s="6" cm="1">
        <f t="array" ref="R69">INDEX(HoleParM,R68,0)</f>
        <v>3</v>
      </c>
      <c r="S69" s="6" cm="1">
        <f t="array" ref="S69">INDEX(HoleParM,S68,0)</f>
        <v>4</v>
      </c>
      <c r="T69" s="6" cm="1">
        <f t="array" ref="T69">INDEX(HoleParM,T68,0)</f>
        <v>4</v>
      </c>
      <c r="U69" s="7">
        <f>IF(SUM(L69:T69)&gt;0,SUM(L69:T69),"")</f>
        <v>36</v>
      </c>
      <c r="V69" s="7">
        <f>IF((SUM(B69:J69)+SUM(L69:T69))&gt;0,SUM(B69:J69)+SUM(L69:T69),"")</f>
        <v>72</v>
      </c>
    </row>
    <row r="70" spans="1:22" x14ac:dyDescent="0.2">
      <c r="A70" s="2" t="s">
        <v>1</v>
      </c>
      <c r="B70" s="6" cm="1">
        <f t="array" ref="B70">INDEX(HoleHandicapM,B68,0)</f>
        <v>11</v>
      </c>
      <c r="C70" s="6" cm="1">
        <f t="array" ref="C70">INDEX(HoleHandicapM,C68,0)</f>
        <v>17</v>
      </c>
      <c r="D70" s="6" cm="1">
        <f t="array" ref="D70">INDEX(HoleHandicapM,D68,0)</f>
        <v>3</v>
      </c>
      <c r="E70" s="6" cm="1">
        <f t="array" ref="E70">INDEX(HoleHandicapM,E68,0)</f>
        <v>5</v>
      </c>
      <c r="F70" s="6" cm="1">
        <f t="array" ref="F70">INDEX(HoleHandicapM,F68,0)</f>
        <v>7</v>
      </c>
      <c r="G70" s="6" cm="1">
        <f t="array" ref="G70">INDEX(HoleHandicapM,G68,0)</f>
        <v>9</v>
      </c>
      <c r="H70" s="6" cm="1">
        <f t="array" ref="H70">INDEX(HoleHandicapM,H68,0)</f>
        <v>15</v>
      </c>
      <c r="I70" s="6" cm="1">
        <f t="array" ref="I70">INDEX(HoleHandicapM,I68,0)</f>
        <v>1</v>
      </c>
      <c r="J70" s="6" cm="1">
        <f t="array" ref="J70">INDEX(HoleHandicapM,J68,0)</f>
        <v>13</v>
      </c>
      <c r="K70" s="6" t="s">
        <v>63</v>
      </c>
      <c r="L70" s="6" cm="1">
        <f t="array" ref="L70">INDEX(HoleHandicapM,L68,0)</f>
        <v>4</v>
      </c>
      <c r="M70" s="6" cm="1">
        <f t="array" ref="M70">INDEX(HoleHandicapM,M68,0)</f>
        <v>18</v>
      </c>
      <c r="N70" s="6" cm="1">
        <f t="array" ref="N70">INDEX(HoleHandicapM,N68,0)</f>
        <v>10</v>
      </c>
      <c r="O70" s="6" cm="1">
        <f t="array" ref="O70">INDEX(HoleHandicapM,O68,0)</f>
        <v>12</v>
      </c>
      <c r="P70" s="6" cm="1">
        <f t="array" ref="P70">INDEX(HoleHandicapM,P68,0)</f>
        <v>2</v>
      </c>
      <c r="Q70" s="6" cm="1">
        <f t="array" ref="Q70">INDEX(HoleHandicapM,Q68,0)</f>
        <v>8</v>
      </c>
      <c r="R70" s="6" cm="1">
        <f t="array" ref="R70">INDEX(HoleHandicapM,R68,0)</f>
        <v>14</v>
      </c>
      <c r="S70" s="6" cm="1">
        <f t="array" ref="S70">INDEX(HoleHandicapM,S68,0)</f>
        <v>16</v>
      </c>
      <c r="T70" s="6" cm="1">
        <f t="array" ref="T70">INDEX(HoleHandicapM,T68,0)</f>
        <v>6</v>
      </c>
      <c r="U70" s="6" t="s">
        <v>64</v>
      </c>
      <c r="V70" s="2" t="s">
        <v>61</v>
      </c>
    </row>
    <row r="71" spans="1:22" x14ac:dyDescent="0.2">
      <c r="A71" s="2" t="str">
        <f>CONCATENATE(A66, " Gross")</f>
        <v>Jerry Ohu Gross</v>
      </c>
      <c r="B71" s="7">
        <v>5</v>
      </c>
      <c r="C71" s="7">
        <v>4</v>
      </c>
      <c r="D71" s="7">
        <v>6</v>
      </c>
      <c r="E71" s="7">
        <v>4</v>
      </c>
      <c r="F71" s="7">
        <v>4</v>
      </c>
      <c r="G71" s="7">
        <v>4</v>
      </c>
      <c r="H71" s="7">
        <v>6</v>
      </c>
      <c r="I71" s="7">
        <v>7</v>
      </c>
      <c r="J71" s="7">
        <v>7</v>
      </c>
      <c r="K71" s="7">
        <f t="shared" ref="K71:K77" si="160">IF(OR(ISBLANK(B71),B71=""),"",SUM(B71:J71))</f>
        <v>47</v>
      </c>
      <c r="L71" s="7">
        <v>5</v>
      </c>
      <c r="M71" s="7">
        <v>7</v>
      </c>
      <c r="N71" s="7">
        <v>8</v>
      </c>
      <c r="O71" s="7">
        <v>3</v>
      </c>
      <c r="P71" s="7">
        <v>5</v>
      </c>
      <c r="Q71" s="7">
        <v>4</v>
      </c>
      <c r="R71" s="7">
        <v>5</v>
      </c>
      <c r="S71" s="7">
        <v>5</v>
      </c>
      <c r="T71" s="7">
        <v>4</v>
      </c>
      <c r="U71" s="7">
        <f t="shared" ref="U71:U77" si="161">IF(OR(ISBLANK(L71),L71=""),"",SUM(L71:T71))</f>
        <v>46</v>
      </c>
      <c r="V71" s="7">
        <f t="shared" ref="V71:V77" si="162">IF(OR(ISBLANK(B71),B71=""),"",SUM(B71:J71)+SUM(L71:T71))</f>
        <v>93</v>
      </c>
    </row>
    <row r="72" spans="1:22" x14ac:dyDescent="0.2">
      <c r="A72" s="2" t="str">
        <f>CONCATENATE(A66, " Handicap Strokes")</f>
        <v>Jerry Ohu Handicap Strokes</v>
      </c>
      <c r="B72" s="7">
        <f t="shared" ref="B72:J72" si="163">ROUNDDOWN($E66/18,0)+IF(MOD($E66,18)&gt;=B70,1,0)</f>
        <v>1</v>
      </c>
      <c r="C72" s="7">
        <f t="shared" si="163"/>
        <v>0</v>
      </c>
      <c r="D72" s="7">
        <f t="shared" si="163"/>
        <v>1</v>
      </c>
      <c r="E72" s="7">
        <f t="shared" si="163"/>
        <v>1</v>
      </c>
      <c r="F72" s="7">
        <f t="shared" si="163"/>
        <v>1</v>
      </c>
      <c r="G72" s="7">
        <f t="shared" si="163"/>
        <v>1</v>
      </c>
      <c r="H72" s="7">
        <f t="shared" si="163"/>
        <v>0</v>
      </c>
      <c r="I72" s="7">
        <f t="shared" si="163"/>
        <v>1</v>
      </c>
      <c r="J72" s="7">
        <f t="shared" si="163"/>
        <v>1</v>
      </c>
      <c r="K72" s="7">
        <f t="shared" si="160"/>
        <v>7</v>
      </c>
      <c r="L72" s="7">
        <f t="shared" ref="L72:T72" si="164">ROUNDDOWN($E66/18,0)+IF(MOD($E66,18)&gt;=L70,1,0)</f>
        <v>1</v>
      </c>
      <c r="M72" s="7">
        <f t="shared" si="164"/>
        <v>0</v>
      </c>
      <c r="N72" s="7">
        <f t="shared" si="164"/>
        <v>1</v>
      </c>
      <c r="O72" s="7">
        <f t="shared" si="164"/>
        <v>1</v>
      </c>
      <c r="P72" s="7">
        <f t="shared" si="164"/>
        <v>1</v>
      </c>
      <c r="Q72" s="7">
        <f t="shared" si="164"/>
        <v>1</v>
      </c>
      <c r="R72" s="7">
        <f t="shared" si="164"/>
        <v>0</v>
      </c>
      <c r="S72" s="7">
        <f t="shared" si="164"/>
        <v>0</v>
      </c>
      <c r="T72" s="7">
        <f t="shared" si="164"/>
        <v>1</v>
      </c>
      <c r="U72" s="7">
        <f t="shared" si="161"/>
        <v>6</v>
      </c>
      <c r="V72" s="7">
        <f t="shared" si="162"/>
        <v>13</v>
      </c>
    </row>
    <row r="73" spans="1:22" x14ac:dyDescent="0.2">
      <c r="A73" s="2" t="str">
        <f>CONCATENATE(A66, " Net (Gross - HCP)")</f>
        <v>Jerry Ohu Net (Gross - HCP)</v>
      </c>
      <c r="B73" s="7">
        <f t="shared" ref="B73:J73" si="165">IF(B71-B72&gt;0,B71-B72,"")</f>
        <v>4</v>
      </c>
      <c r="C73" s="7">
        <f t="shared" si="165"/>
        <v>4</v>
      </c>
      <c r="D73" s="7">
        <f t="shared" si="165"/>
        <v>5</v>
      </c>
      <c r="E73" s="7">
        <f t="shared" si="165"/>
        <v>3</v>
      </c>
      <c r="F73" s="7">
        <f t="shared" si="165"/>
        <v>3</v>
      </c>
      <c r="G73" s="7">
        <f t="shared" si="165"/>
        <v>3</v>
      </c>
      <c r="H73" s="7">
        <f t="shared" si="165"/>
        <v>6</v>
      </c>
      <c r="I73" s="7">
        <f t="shared" si="165"/>
        <v>6</v>
      </c>
      <c r="J73" s="7">
        <f t="shared" si="165"/>
        <v>6</v>
      </c>
      <c r="K73" s="7">
        <f t="shared" si="160"/>
        <v>40</v>
      </c>
      <c r="L73" s="7">
        <f t="shared" ref="L73:T73" si="166">IF(L71-L72&gt;0,L71-L72,"")</f>
        <v>4</v>
      </c>
      <c r="M73" s="7">
        <f t="shared" si="166"/>
        <v>7</v>
      </c>
      <c r="N73" s="7">
        <f t="shared" si="166"/>
        <v>7</v>
      </c>
      <c r="O73" s="7">
        <f t="shared" si="166"/>
        <v>2</v>
      </c>
      <c r="P73" s="7">
        <f t="shared" si="166"/>
        <v>4</v>
      </c>
      <c r="Q73" s="7">
        <f t="shared" si="166"/>
        <v>3</v>
      </c>
      <c r="R73" s="7">
        <f t="shared" si="166"/>
        <v>5</v>
      </c>
      <c r="S73" s="7">
        <f t="shared" si="166"/>
        <v>5</v>
      </c>
      <c r="T73" s="7">
        <f t="shared" si="166"/>
        <v>3</v>
      </c>
      <c r="U73" s="7">
        <f t="shared" si="161"/>
        <v>40</v>
      </c>
      <c r="V73" s="7">
        <f t="shared" si="162"/>
        <v>80</v>
      </c>
    </row>
    <row r="74" spans="1:22" x14ac:dyDescent="0.2">
      <c r="A74" s="2" t="str">
        <f>IF(A67 &lt;&gt; "Solo",CONCATENATE(A67, " Gross"),"")</f>
        <v>John Day Gross</v>
      </c>
      <c r="B74" s="7">
        <v>6</v>
      </c>
      <c r="C74" s="7">
        <v>7</v>
      </c>
      <c r="D74" s="7">
        <v>9</v>
      </c>
      <c r="E74" s="7">
        <v>8</v>
      </c>
      <c r="F74" s="7">
        <v>8</v>
      </c>
      <c r="G74" s="7">
        <v>8</v>
      </c>
      <c r="H74" s="7">
        <v>6</v>
      </c>
      <c r="I74" s="7">
        <v>9</v>
      </c>
      <c r="J74" s="7">
        <v>7</v>
      </c>
      <c r="K74" s="7">
        <f t="shared" si="160"/>
        <v>68</v>
      </c>
      <c r="L74" s="7">
        <v>8</v>
      </c>
      <c r="M74" s="7">
        <v>7</v>
      </c>
      <c r="N74" s="7">
        <v>9</v>
      </c>
      <c r="O74" s="7">
        <v>7</v>
      </c>
      <c r="P74" s="7">
        <v>8</v>
      </c>
      <c r="Q74" s="7">
        <v>6</v>
      </c>
      <c r="R74" s="7">
        <v>5</v>
      </c>
      <c r="S74" s="7">
        <v>6</v>
      </c>
      <c r="T74" s="7">
        <v>7</v>
      </c>
      <c r="U74" s="7">
        <f t="shared" si="161"/>
        <v>63</v>
      </c>
      <c r="V74" s="7">
        <f t="shared" si="162"/>
        <v>131</v>
      </c>
    </row>
    <row r="75" spans="1:22" x14ac:dyDescent="0.2">
      <c r="A75" s="2" t="str">
        <f>IF(A67 &lt;&gt; "Solo",CONCATENATE(A67, " Handicap Strokes"),"")</f>
        <v>John Day Handicap Strokes</v>
      </c>
      <c r="B75" s="7">
        <f>IF($A67 &lt;&gt; "Solo",ROUNDDOWN($E67/18,0)+IF(MOD($E67,18)&gt;=B70,1,0),"")</f>
        <v>2</v>
      </c>
      <c r="C75" s="7">
        <f t="shared" ref="C75:J75" si="167">IF($A67 &lt;&gt; "Solo",ROUNDDOWN($E67/18,0)+IF(MOD($E67,18)&gt;=C70,1,0),"")</f>
        <v>1</v>
      </c>
      <c r="D75" s="7">
        <f t="shared" si="167"/>
        <v>2</v>
      </c>
      <c r="E75" s="7">
        <f t="shared" si="167"/>
        <v>2</v>
      </c>
      <c r="F75" s="7">
        <f t="shared" si="167"/>
        <v>2</v>
      </c>
      <c r="G75" s="7">
        <f t="shared" si="167"/>
        <v>2</v>
      </c>
      <c r="H75" s="7">
        <f t="shared" si="167"/>
        <v>1</v>
      </c>
      <c r="I75" s="7">
        <f t="shared" si="167"/>
        <v>2</v>
      </c>
      <c r="J75" s="7">
        <f t="shared" si="167"/>
        <v>1</v>
      </c>
      <c r="K75" s="7">
        <f t="shared" si="160"/>
        <v>15</v>
      </c>
      <c r="L75" s="7">
        <f t="shared" ref="L75:T75" si="168">IF($A67 &lt;&gt; "Solo",ROUNDDOWN($E67/18,0)+IF(MOD($E67,18)&gt;=L70,1,0),"")</f>
        <v>2</v>
      </c>
      <c r="M75" s="7">
        <f t="shared" si="168"/>
        <v>1</v>
      </c>
      <c r="N75" s="7">
        <f t="shared" si="168"/>
        <v>2</v>
      </c>
      <c r="O75" s="7">
        <f t="shared" si="168"/>
        <v>2</v>
      </c>
      <c r="P75" s="7">
        <f t="shared" si="168"/>
        <v>2</v>
      </c>
      <c r="Q75" s="7">
        <f t="shared" si="168"/>
        <v>2</v>
      </c>
      <c r="R75" s="7">
        <f t="shared" si="168"/>
        <v>1</v>
      </c>
      <c r="S75" s="7">
        <f t="shared" si="168"/>
        <v>1</v>
      </c>
      <c r="T75" s="7">
        <f t="shared" si="168"/>
        <v>2</v>
      </c>
      <c r="U75" s="7">
        <f t="shared" si="161"/>
        <v>15</v>
      </c>
      <c r="V75" s="7">
        <f t="shared" si="162"/>
        <v>30</v>
      </c>
    </row>
    <row r="76" spans="1:22" x14ac:dyDescent="0.2">
      <c r="A76" s="2" t="str">
        <f>IF(A67 &lt;&gt; "Solo",CONCATENATE(A67, " Net (Gross - HCP)"),"")</f>
        <v>John Day Net (Gross - HCP)</v>
      </c>
      <c r="B76" s="7">
        <f t="shared" ref="B76" si="169">IF($A67 &lt;&gt; "Solo",IF(B74-B75&gt;0,B74-B75,""),"")</f>
        <v>4</v>
      </c>
      <c r="C76" s="7">
        <f t="shared" ref="C76" si="170">IF($A67 &lt;&gt; "Solo",IF(C74-C75&gt;0,C74-C75,""),"")</f>
        <v>6</v>
      </c>
      <c r="D76" s="7">
        <f t="shared" ref="D76" si="171">IF($A67 &lt;&gt; "Solo",IF(D74-D75&gt;0,D74-D75,""),"")</f>
        <v>7</v>
      </c>
      <c r="E76" s="7">
        <f t="shared" ref="E76" si="172">IF($A67 &lt;&gt; "Solo",IF(E74-E75&gt;0,E74-E75,""),"")</f>
        <v>6</v>
      </c>
      <c r="F76" s="7">
        <f t="shared" ref="F76" si="173">IF($A67 &lt;&gt; "Solo",IF(F74-F75&gt;0,F74-F75,""),"")</f>
        <v>6</v>
      </c>
      <c r="G76" s="7">
        <f t="shared" ref="G76" si="174">IF($A67 &lt;&gt; "Solo",IF(G74-G75&gt;0,G74-G75,""),"")</f>
        <v>6</v>
      </c>
      <c r="H76" s="7">
        <f t="shared" ref="H76" si="175">IF($A67 &lt;&gt; "Solo",IF(H74-H75&gt;0,H74-H75,""),"")</f>
        <v>5</v>
      </c>
      <c r="I76" s="7">
        <f t="shared" ref="I76" si="176">IF($A67 &lt;&gt; "Solo",IF(I74-I75&gt;0,I74-I75,""),"")</f>
        <v>7</v>
      </c>
      <c r="J76" s="7">
        <f t="shared" ref="J76" si="177">IF($A67 &lt;&gt; "Solo",IF(J74-J75&gt;0,J74-J75,""),"")</f>
        <v>6</v>
      </c>
      <c r="K76" s="7">
        <f t="shared" si="160"/>
        <v>53</v>
      </c>
      <c r="L76" s="7">
        <f t="shared" ref="L76" si="178">IF($A67 &lt;&gt; "Solo",IF(L74-L75&gt;0,L74-L75,""),"")</f>
        <v>6</v>
      </c>
      <c r="M76" s="7">
        <f t="shared" ref="M76" si="179">IF($A67 &lt;&gt; "Solo",IF(M74-M75&gt;0,M74-M75,""),"")</f>
        <v>6</v>
      </c>
      <c r="N76" s="7">
        <f t="shared" ref="N76" si="180">IF($A67 &lt;&gt; "Solo",IF(N74-N75&gt;0,N74-N75,""),"")</f>
        <v>7</v>
      </c>
      <c r="O76" s="7">
        <f t="shared" ref="O76" si="181">IF($A67 &lt;&gt; "Solo",IF(O74-O75&gt;0,O74-O75,""),"")</f>
        <v>5</v>
      </c>
      <c r="P76" s="7">
        <f t="shared" ref="P76" si="182">IF($A67 &lt;&gt; "Solo",IF(P74-P75&gt;0,P74-P75,""),"")</f>
        <v>6</v>
      </c>
      <c r="Q76" s="7">
        <f t="shared" ref="Q76" si="183">IF($A67 &lt;&gt; "Solo",IF(Q74-Q75&gt;0,Q74-Q75,""),"")</f>
        <v>4</v>
      </c>
      <c r="R76" s="7">
        <f t="shared" ref="R76" si="184">IF($A67 &lt;&gt; "Solo",IF(R74-R75&gt;0,R74-R75,""),"")</f>
        <v>4</v>
      </c>
      <c r="S76" s="7">
        <f t="shared" ref="S76" si="185">IF($A67 &lt;&gt; "Solo",IF(S74-S75&gt;0,S74-S75,""),"")</f>
        <v>5</v>
      </c>
      <c r="T76" s="7">
        <f t="shared" ref="T76" si="186">IF($A67 &lt;&gt; "Solo",IF(T74-T75&gt;0,T74-T75,""),"")</f>
        <v>5</v>
      </c>
      <c r="U76" s="7">
        <f t="shared" si="161"/>
        <v>48</v>
      </c>
      <c r="V76" s="7">
        <f t="shared" si="162"/>
        <v>101</v>
      </c>
    </row>
    <row r="77" spans="1:22" x14ac:dyDescent="0.2">
      <c r="A77" s="2" t="str">
        <f>CONCATENATE(A65, " Best Ball")</f>
        <v>Team 5 Best Ball</v>
      </c>
      <c r="B77" s="7">
        <f>IF(AND(ISBLANK(B71), ISBLANK(B74)),"",MIN(B73,B76))</f>
        <v>4</v>
      </c>
      <c r="C77" s="7">
        <f t="shared" ref="C77" si="187">IF(AND(ISBLANK(C71), ISBLANK(C74)),"",MIN(C73,C76))</f>
        <v>4</v>
      </c>
      <c r="D77" s="7">
        <f t="shared" ref="D77" si="188">IF(AND(ISBLANK(D71), ISBLANK(D74)),"",MIN(D73,D76))</f>
        <v>5</v>
      </c>
      <c r="E77" s="7">
        <f t="shared" ref="E77" si="189">IF(AND(ISBLANK(E71), ISBLANK(E74)),"",MIN(E73,E76))</f>
        <v>3</v>
      </c>
      <c r="F77" s="7">
        <f t="shared" ref="F77" si="190">IF(AND(ISBLANK(F71), ISBLANK(F74)),"",MIN(F73,F76))</f>
        <v>3</v>
      </c>
      <c r="G77" s="7">
        <f t="shared" ref="G77" si="191">IF(AND(ISBLANK(G71), ISBLANK(G74)),"",MIN(G73,G76))</f>
        <v>3</v>
      </c>
      <c r="H77" s="7">
        <f t="shared" ref="H77" si="192">IF(AND(ISBLANK(H71), ISBLANK(H74)),"",MIN(H73,H76))</f>
        <v>5</v>
      </c>
      <c r="I77" s="7">
        <f t="shared" ref="I77" si="193">IF(AND(ISBLANK(I71), ISBLANK(I74)),"",MIN(I73,I76))</f>
        <v>6</v>
      </c>
      <c r="J77" s="7">
        <f t="shared" ref="J77" si="194">IF(AND(ISBLANK(J71), ISBLANK(J74)),"",MIN(J73,J76))</f>
        <v>6</v>
      </c>
      <c r="K77" s="7">
        <f t="shared" si="160"/>
        <v>39</v>
      </c>
      <c r="L77" s="7">
        <f t="shared" ref="L77" si="195">IF(AND(ISBLANK(L71), ISBLANK(L74)),"",MIN(L73,L76))</f>
        <v>4</v>
      </c>
      <c r="M77" s="7">
        <f t="shared" ref="M77" si="196">IF(AND(ISBLANK(M71), ISBLANK(M74)),"",MIN(M73,M76))</f>
        <v>6</v>
      </c>
      <c r="N77" s="7">
        <f t="shared" ref="N77" si="197">IF(AND(ISBLANK(N71), ISBLANK(N74)),"",MIN(N73,N76))</f>
        <v>7</v>
      </c>
      <c r="O77" s="7">
        <f t="shared" ref="O77" si="198">IF(AND(ISBLANK(O71), ISBLANK(O74)),"",MIN(O73,O76))</f>
        <v>2</v>
      </c>
      <c r="P77" s="7">
        <f t="shared" ref="P77" si="199">IF(AND(ISBLANK(P71), ISBLANK(P74)),"",MIN(P73,P76))</f>
        <v>4</v>
      </c>
      <c r="Q77" s="7">
        <f t="shared" ref="Q77" si="200">IF(AND(ISBLANK(Q71), ISBLANK(Q74)),"",MIN(Q73,Q76))</f>
        <v>3</v>
      </c>
      <c r="R77" s="7">
        <f t="shared" ref="R77" si="201">IF(AND(ISBLANK(R71), ISBLANK(R74)),"",MIN(R73,R76))</f>
        <v>4</v>
      </c>
      <c r="S77" s="7">
        <f t="shared" ref="S77" si="202">IF(AND(ISBLANK(S71), ISBLANK(S74)),"",MIN(S73,S76))</f>
        <v>5</v>
      </c>
      <c r="T77" s="7">
        <f t="shared" ref="T77" si="203">IF(AND(ISBLANK(T71), ISBLANK(T74)),"",MIN(T73,T76))</f>
        <v>3</v>
      </c>
      <c r="U77" s="7">
        <f t="shared" si="161"/>
        <v>38</v>
      </c>
      <c r="V77" s="7">
        <f t="shared" si="162"/>
        <v>77</v>
      </c>
    </row>
    <row r="78" spans="1:22" x14ac:dyDescent="0.2">
      <c r="A78" s="2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</row>
    <row r="79" spans="1:22" x14ac:dyDescent="0.2">
      <c r="A79" s="2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</row>
    <row r="80" spans="1:22" x14ac:dyDescent="0.2">
      <c r="A80" s="2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</row>
    <row r="81" spans="1:22" ht="15.75" customHeight="1" x14ac:dyDescent="0.2">
      <c r="A81" s="2"/>
      <c r="B81" s="2"/>
      <c r="C81" s="2"/>
      <c r="D81" s="4" t="s">
        <v>17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spans="1:22" ht="15.75" customHeight="1" x14ac:dyDescent="0.2">
      <c r="A82" s="2" t="s">
        <v>48</v>
      </c>
      <c r="B82" s="2" t="s">
        <v>62</v>
      </c>
      <c r="C82" s="2" t="s">
        <v>2</v>
      </c>
      <c r="D82" s="3" t="s">
        <v>31</v>
      </c>
      <c r="E82" s="4" t="s">
        <v>28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spans="1:22" x14ac:dyDescent="0.2">
      <c r="A83" s="2" t="str" cm="1">
        <f t="array" ref="A83">INDEX(PlayerNames,SUMPRODUCT((PlayerTeamNo=VALUE(RIGHT(A82,1)))*(PlayerPlayerNo=1)*ROW(PlayerNames))-1)</f>
        <v>Jeff Mattingley</v>
      </c>
      <c r="B83" s="2" t="str" cm="1">
        <f t="array" ref="B83">INDEX(PlayerTees,SUMPRODUCT((PlayerTeamNo=VALUE(RIGHT(A82,1)))*(PlayerPlayerNo=1)*ROW(PlayerTees))-1)</f>
        <v>Black</v>
      </c>
      <c r="C83" s="2" cm="1">
        <f t="array" ref="C83">IF(MaxIndex &gt; 0,MIN(INDEX(PlayerHandicaps,SUMPRODUCT((PlayerTeamNo=VALUE(RIGHT(A82,1)))*(PlayerPlayerNo=1)*ROW(PlayerHandicaps))-1),MaxIndex),INDEX(PlayerHandicaps,SUMPRODUCT((PlayerTeamNo=VALUE(RIGHT(A82,1)))*(PlayerPlayerNo=1)*ROW(PlayerHandicaps))-1))</f>
        <v>10</v>
      </c>
      <c r="D83" s="2" cm="1">
        <f t="array" ref="D83">IF(C83="","",IF(C83=0,0,IF(INDEX(PlayerGender,SUMPRODUCT((PlayerTeamNo=VALUE(RIGHT(A82,1)))*(PlayerPlayerNo=1)*ROW(PlayerGender))-1)="M",ROUND((C83*(HLOOKUP(B83,MensTees,2,FALSE)/113))+(HLOOKUP(B83,MensTees,3,FALSE)-HLOOKUP(B83,MensTees,4,FALSE)),0),ROUND((C83*(HLOOKUP(B83,WomenTees,2,FALSE)/113))+(HLOOKUP(B83,WomenTees,3,FALSE)-HLOOKUP(B83,WomenTees,4,FALSE)),0))))</f>
        <v>11</v>
      </c>
      <c r="E83" s="2">
        <f>IF(A84 = "Solo",D83,ROUND(D83*HandicapAllowance,0))</f>
        <v>10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spans="1:22" x14ac:dyDescent="0.2">
      <c r="A84" s="2" t="str" cm="1">
        <f t="array" ref="A84">IF(ISERROR(INDEX(PlayerNames,SUMPRODUCT((PlayerTeamNo=VALUE(RIGHT(A82,1)))*(PlayerPlayerNo=2)*ROW(PlayerNames))-1)),"Solo",INDEX(PlayerNames,SUMPRODUCT((PlayerTeamNo=VALUE(RIGHT(A82,1)))*(PlayerPlayerNo=2)*ROW(PlayerNames))-1))</f>
        <v>Shawn Flynn</v>
      </c>
      <c r="B84" s="2" t="str" cm="1">
        <f t="array" ref="B84">IF(A84&lt;&gt;"Solo",INDEX(PlayerTees,SUMPRODUCT((PlayerTeamNo=VALUE(RIGHT(A82,1)))*(PlayerPlayerNo=2)*ROW(PlayerTees))-1),"")</f>
        <v>Black</v>
      </c>
      <c r="C84" s="2" cm="1">
        <f t="array" ref="C84">IF(A84 &lt;&gt; "Solo",IF(MaxIndex &gt; 0,MIN(INDEX(PlayerHandicaps,SUMPRODUCT((PlayerTeamNo=VALUE(RIGHT(A82,1)))*(PlayerPlayerNo=2)*ROW(PlayerHandicaps))-1),MaxIndex),INDEX(PlayerHandicaps,SUMPRODUCT((PlayerTeamNo=VALUE(RIGHT(A82,1)))*(PlayerPlayerNo=2)*ROW(PlayerHandicaps))-1)),"")</f>
        <v>10</v>
      </c>
      <c r="D84" s="2" cm="1">
        <f t="array" ref="D84">IF(C84="","",IF(C84=0,0,IF(INDEX(PlayerGender,SUMPRODUCT((PlayerTeamNo=VALUE(RIGHT(A82,1)))*(PlayerPlayerNo=2)*ROW(PlayerGender))-1)="M",ROUND((C84*(HLOOKUP(B84,MensTees,2,FALSE)/113))+(HLOOKUP(B84,MensTees,3,FALSE)-HLOOKUP(B84,MensTees,4,FALSE)),0),ROUND((C84*(HLOOKUP(B84,WomenTees,2,FALSE)/113))+(HLOOKUP(B84,WomenTees,3,FALSE)-HLOOKUP(B84,WomenTees,4,FALSE)),0))))</f>
        <v>11</v>
      </c>
      <c r="E84" s="2">
        <f>IF(A84 &lt;&gt; "Solo",ROUND(D84*HandicapAllowance,0),"")</f>
        <v>10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spans="1:22" x14ac:dyDescent="0.2">
      <c r="A85" s="2" t="s">
        <v>3</v>
      </c>
      <c r="B85" s="5">
        <v>1</v>
      </c>
      <c r="C85" s="5">
        <v>2</v>
      </c>
      <c r="D85" s="5">
        <v>3</v>
      </c>
      <c r="E85" s="5">
        <v>4</v>
      </c>
      <c r="F85" s="5">
        <v>5</v>
      </c>
      <c r="G85" s="5">
        <v>6</v>
      </c>
      <c r="H85" s="5">
        <v>7</v>
      </c>
      <c r="I85" s="5">
        <v>8</v>
      </c>
      <c r="J85" s="5">
        <v>9</v>
      </c>
      <c r="K85" s="5"/>
      <c r="L85" s="5">
        <v>10</v>
      </c>
      <c r="M85" s="5">
        <v>11</v>
      </c>
      <c r="N85" s="5">
        <v>12</v>
      </c>
      <c r="O85" s="5">
        <v>13</v>
      </c>
      <c r="P85" s="5">
        <v>14</v>
      </c>
      <c r="Q85" s="5">
        <v>15</v>
      </c>
      <c r="R85" s="5">
        <v>16</v>
      </c>
      <c r="S85" s="5">
        <v>17</v>
      </c>
      <c r="T85" s="5">
        <v>18</v>
      </c>
      <c r="U85" s="5"/>
      <c r="V85" s="2"/>
    </row>
    <row r="86" spans="1:22" x14ac:dyDescent="0.2">
      <c r="A86" s="2" t="s">
        <v>60</v>
      </c>
      <c r="B86" s="6" cm="1">
        <f t="array" ref="B86">INDEX(HoleParM,B85,0)</f>
        <v>4</v>
      </c>
      <c r="C86" s="6" cm="1">
        <f t="array" ref="C86">INDEX(HoleParM,C85,0)</f>
        <v>3</v>
      </c>
      <c r="D86" s="6" cm="1">
        <f t="array" ref="D86">INDEX(HoleParM,D85,0)</f>
        <v>5</v>
      </c>
      <c r="E86" s="6" cm="1">
        <f t="array" ref="E86">INDEX(HoleParM,E85,0)</f>
        <v>4</v>
      </c>
      <c r="F86" s="6" cm="1">
        <f t="array" ref="F86">INDEX(HoleParM,F85,0)</f>
        <v>4</v>
      </c>
      <c r="G86" s="6" cm="1">
        <f t="array" ref="G86">INDEX(HoleParM,G85,0)</f>
        <v>4</v>
      </c>
      <c r="H86" s="6" cm="1">
        <f t="array" ref="H86">INDEX(HoleParM,H85,0)</f>
        <v>3</v>
      </c>
      <c r="I86" s="6" cm="1">
        <f t="array" ref="I86">INDEX(HoleParM,I85,0)</f>
        <v>5</v>
      </c>
      <c r="J86" s="6" cm="1">
        <f t="array" ref="J86">INDEX(HoleParM,J85,0)</f>
        <v>4</v>
      </c>
      <c r="K86" s="7">
        <f>IF(SUM(B86:J86)&gt;0,SUM(B86:J86),"")</f>
        <v>36</v>
      </c>
      <c r="L86" s="6" cm="1">
        <f t="array" ref="L86">INDEX(HoleParM,L85,0)</f>
        <v>5</v>
      </c>
      <c r="M86" s="6" cm="1">
        <f t="array" ref="M86">INDEX(HoleParM,M85,0)</f>
        <v>4</v>
      </c>
      <c r="N86" s="6" cm="1">
        <f t="array" ref="N86">INDEX(HoleParM,N85,0)</f>
        <v>5</v>
      </c>
      <c r="O86" s="6" cm="1">
        <f t="array" ref="O86">INDEX(HoleParM,O85,0)</f>
        <v>3</v>
      </c>
      <c r="P86" s="6" cm="1">
        <f t="array" ref="P86">INDEX(HoleParM,P85,0)</f>
        <v>4</v>
      </c>
      <c r="Q86" s="6" cm="1">
        <f t="array" ref="Q86">INDEX(HoleParM,Q85,0)</f>
        <v>4</v>
      </c>
      <c r="R86" s="6" cm="1">
        <f t="array" ref="R86">INDEX(HoleParM,R85,0)</f>
        <v>3</v>
      </c>
      <c r="S86" s="6" cm="1">
        <f t="array" ref="S86">INDEX(HoleParM,S85,0)</f>
        <v>4</v>
      </c>
      <c r="T86" s="6" cm="1">
        <f t="array" ref="T86">INDEX(HoleParM,T85,0)</f>
        <v>4</v>
      </c>
      <c r="U86" s="7">
        <f>IF(SUM(L86:T86)&gt;0,SUM(L86:T86),"")</f>
        <v>36</v>
      </c>
      <c r="V86" s="7">
        <f>IF((SUM(B86:J86)+SUM(L86:T86))&gt;0,SUM(B86:J86)+SUM(L86:T86),"")</f>
        <v>72</v>
      </c>
    </row>
    <row r="87" spans="1:22" x14ac:dyDescent="0.2">
      <c r="A87" s="2" t="s">
        <v>1</v>
      </c>
      <c r="B87" s="6" cm="1">
        <f t="array" ref="B87">INDEX(HoleHandicapM,B85,0)</f>
        <v>11</v>
      </c>
      <c r="C87" s="6" cm="1">
        <f t="array" ref="C87">INDEX(HoleHandicapM,C85,0)</f>
        <v>17</v>
      </c>
      <c r="D87" s="6" cm="1">
        <f t="array" ref="D87">INDEX(HoleHandicapM,D85,0)</f>
        <v>3</v>
      </c>
      <c r="E87" s="6" cm="1">
        <f t="array" ref="E87">INDEX(HoleHandicapM,E85,0)</f>
        <v>5</v>
      </c>
      <c r="F87" s="6" cm="1">
        <f t="array" ref="F87">INDEX(HoleHandicapM,F85,0)</f>
        <v>7</v>
      </c>
      <c r="G87" s="6" cm="1">
        <f t="array" ref="G87">INDEX(HoleHandicapM,G85,0)</f>
        <v>9</v>
      </c>
      <c r="H87" s="6" cm="1">
        <f t="array" ref="H87">INDEX(HoleHandicapM,H85,0)</f>
        <v>15</v>
      </c>
      <c r="I87" s="6" cm="1">
        <f t="array" ref="I87">INDEX(HoleHandicapM,I85,0)</f>
        <v>1</v>
      </c>
      <c r="J87" s="6" cm="1">
        <f t="array" ref="J87">INDEX(HoleHandicapM,J85,0)</f>
        <v>13</v>
      </c>
      <c r="K87" s="6" t="s">
        <v>63</v>
      </c>
      <c r="L87" s="6" cm="1">
        <f t="array" ref="L87">INDEX(HoleHandicapM,L85,0)</f>
        <v>4</v>
      </c>
      <c r="M87" s="6" cm="1">
        <f t="array" ref="M87">INDEX(HoleHandicapM,M85,0)</f>
        <v>18</v>
      </c>
      <c r="N87" s="6" cm="1">
        <f t="array" ref="N87">INDEX(HoleHandicapM,N85,0)</f>
        <v>10</v>
      </c>
      <c r="O87" s="6" cm="1">
        <f t="array" ref="O87">INDEX(HoleHandicapM,O85,0)</f>
        <v>12</v>
      </c>
      <c r="P87" s="6" cm="1">
        <f t="array" ref="P87">INDEX(HoleHandicapM,P85,0)</f>
        <v>2</v>
      </c>
      <c r="Q87" s="6" cm="1">
        <f t="array" ref="Q87">INDEX(HoleHandicapM,Q85,0)</f>
        <v>8</v>
      </c>
      <c r="R87" s="6" cm="1">
        <f t="array" ref="R87">INDEX(HoleHandicapM,R85,0)</f>
        <v>14</v>
      </c>
      <c r="S87" s="6" cm="1">
        <f t="array" ref="S87">INDEX(HoleHandicapM,S85,0)</f>
        <v>16</v>
      </c>
      <c r="T87" s="6" cm="1">
        <f t="array" ref="T87">INDEX(HoleHandicapM,T85,0)</f>
        <v>6</v>
      </c>
      <c r="U87" s="6" t="s">
        <v>64</v>
      </c>
      <c r="V87" s="2" t="s">
        <v>61</v>
      </c>
    </row>
    <row r="88" spans="1:22" x14ac:dyDescent="0.2">
      <c r="A88" s="2" t="str">
        <f>CONCATENATE(A83, " Gross")</f>
        <v>Jeff Mattingley Gross</v>
      </c>
      <c r="B88" s="7">
        <v>4</v>
      </c>
      <c r="C88" s="7">
        <v>3</v>
      </c>
      <c r="D88" s="7">
        <v>5</v>
      </c>
      <c r="E88" s="7">
        <v>5</v>
      </c>
      <c r="F88" s="7">
        <v>6</v>
      </c>
      <c r="G88" s="7">
        <v>5</v>
      </c>
      <c r="H88" s="7">
        <v>4</v>
      </c>
      <c r="I88" s="7">
        <v>5</v>
      </c>
      <c r="J88" s="7">
        <v>4</v>
      </c>
      <c r="K88" s="7">
        <f t="shared" ref="K88:K94" si="204">IF(OR(ISBLANK(B88),B88=""),"",SUM(B88:J88))</f>
        <v>41</v>
      </c>
      <c r="L88" s="7">
        <v>5</v>
      </c>
      <c r="M88" s="7">
        <v>5</v>
      </c>
      <c r="N88" s="7">
        <v>6</v>
      </c>
      <c r="O88" s="7">
        <v>4</v>
      </c>
      <c r="P88" s="7">
        <v>5</v>
      </c>
      <c r="Q88" s="7">
        <v>4</v>
      </c>
      <c r="R88" s="7">
        <v>3</v>
      </c>
      <c r="S88" s="7">
        <v>5</v>
      </c>
      <c r="T88" s="7">
        <v>4</v>
      </c>
      <c r="U88" s="7">
        <f t="shared" ref="U88:U94" si="205">IF(OR(ISBLANK(L88),L88=""),"",SUM(L88:T88))</f>
        <v>41</v>
      </c>
      <c r="V88" s="7">
        <f t="shared" ref="V88:V94" si="206">IF(OR(ISBLANK(B88),B88=""),"",SUM(B88:J88)+SUM(L88:T88))</f>
        <v>82</v>
      </c>
    </row>
    <row r="89" spans="1:22" x14ac:dyDescent="0.2">
      <c r="A89" s="2" t="str">
        <f>CONCATENATE(A83, " Handicap Strokes")</f>
        <v>Jeff Mattingley Handicap Strokes</v>
      </c>
      <c r="B89" s="7">
        <f t="shared" ref="B89:J89" si="207">ROUNDDOWN($E83/18,0)+IF(MOD($E83,18)&gt;=B87,1,0)</f>
        <v>0</v>
      </c>
      <c r="C89" s="7">
        <f t="shared" si="207"/>
        <v>0</v>
      </c>
      <c r="D89" s="7">
        <f t="shared" si="207"/>
        <v>1</v>
      </c>
      <c r="E89" s="7">
        <f t="shared" si="207"/>
        <v>1</v>
      </c>
      <c r="F89" s="7">
        <f t="shared" si="207"/>
        <v>1</v>
      </c>
      <c r="G89" s="7">
        <f t="shared" si="207"/>
        <v>1</v>
      </c>
      <c r="H89" s="7">
        <f t="shared" si="207"/>
        <v>0</v>
      </c>
      <c r="I89" s="7">
        <f t="shared" si="207"/>
        <v>1</v>
      </c>
      <c r="J89" s="7">
        <f t="shared" si="207"/>
        <v>0</v>
      </c>
      <c r="K89" s="7">
        <f t="shared" si="204"/>
        <v>5</v>
      </c>
      <c r="L89" s="7">
        <f t="shared" ref="L89:T89" si="208">ROUNDDOWN($E83/18,0)+IF(MOD($E83,18)&gt;=L87,1,0)</f>
        <v>1</v>
      </c>
      <c r="M89" s="7">
        <f t="shared" si="208"/>
        <v>0</v>
      </c>
      <c r="N89" s="7">
        <f t="shared" si="208"/>
        <v>1</v>
      </c>
      <c r="O89" s="7">
        <f t="shared" si="208"/>
        <v>0</v>
      </c>
      <c r="P89" s="7">
        <f t="shared" si="208"/>
        <v>1</v>
      </c>
      <c r="Q89" s="7">
        <f t="shared" si="208"/>
        <v>1</v>
      </c>
      <c r="R89" s="7">
        <f t="shared" si="208"/>
        <v>0</v>
      </c>
      <c r="S89" s="7">
        <f t="shared" si="208"/>
        <v>0</v>
      </c>
      <c r="T89" s="7">
        <f t="shared" si="208"/>
        <v>1</v>
      </c>
      <c r="U89" s="7">
        <f t="shared" si="205"/>
        <v>5</v>
      </c>
      <c r="V89" s="7">
        <f t="shared" si="206"/>
        <v>10</v>
      </c>
    </row>
    <row r="90" spans="1:22" x14ac:dyDescent="0.2">
      <c r="A90" s="2" t="str">
        <f>CONCATENATE(A83, " Net (Gross - HCP)")</f>
        <v>Jeff Mattingley Net (Gross - HCP)</v>
      </c>
      <c r="B90" s="7">
        <f t="shared" ref="B90:J90" si="209">IF(B88-B89&gt;0,B88-B89,"")</f>
        <v>4</v>
      </c>
      <c r="C90" s="7">
        <f t="shared" si="209"/>
        <v>3</v>
      </c>
      <c r="D90" s="7">
        <f t="shared" si="209"/>
        <v>4</v>
      </c>
      <c r="E90" s="7">
        <f t="shared" si="209"/>
        <v>4</v>
      </c>
      <c r="F90" s="7">
        <f t="shared" si="209"/>
        <v>5</v>
      </c>
      <c r="G90" s="7">
        <f t="shared" si="209"/>
        <v>4</v>
      </c>
      <c r="H90" s="7">
        <f t="shared" si="209"/>
        <v>4</v>
      </c>
      <c r="I90" s="7">
        <f t="shared" si="209"/>
        <v>4</v>
      </c>
      <c r="J90" s="7">
        <f t="shared" si="209"/>
        <v>4</v>
      </c>
      <c r="K90" s="7">
        <f t="shared" si="204"/>
        <v>36</v>
      </c>
      <c r="L90" s="7">
        <f t="shared" ref="L90:T90" si="210">IF(L88-L89&gt;0,L88-L89,"")</f>
        <v>4</v>
      </c>
      <c r="M90" s="7">
        <f t="shared" si="210"/>
        <v>5</v>
      </c>
      <c r="N90" s="7">
        <f t="shared" si="210"/>
        <v>5</v>
      </c>
      <c r="O90" s="7">
        <f t="shared" si="210"/>
        <v>4</v>
      </c>
      <c r="P90" s="7">
        <f t="shared" si="210"/>
        <v>4</v>
      </c>
      <c r="Q90" s="7">
        <f t="shared" si="210"/>
        <v>3</v>
      </c>
      <c r="R90" s="7">
        <f t="shared" si="210"/>
        <v>3</v>
      </c>
      <c r="S90" s="7">
        <f t="shared" si="210"/>
        <v>5</v>
      </c>
      <c r="T90" s="7">
        <f t="shared" si="210"/>
        <v>3</v>
      </c>
      <c r="U90" s="7">
        <f t="shared" si="205"/>
        <v>36</v>
      </c>
      <c r="V90" s="7">
        <f t="shared" si="206"/>
        <v>72</v>
      </c>
    </row>
    <row r="91" spans="1:22" x14ac:dyDescent="0.2">
      <c r="A91" s="2" t="str">
        <f>IF(A84 &lt;&gt; "Solo",CONCATENATE(A84, " Gross"),"")</f>
        <v>Shawn Flynn Gross</v>
      </c>
      <c r="B91" s="7">
        <v>4</v>
      </c>
      <c r="C91" s="7">
        <v>3</v>
      </c>
      <c r="D91" s="7">
        <v>6</v>
      </c>
      <c r="E91" s="7">
        <v>5</v>
      </c>
      <c r="F91" s="7">
        <v>5</v>
      </c>
      <c r="G91" s="7">
        <v>5</v>
      </c>
      <c r="H91" s="7">
        <v>4</v>
      </c>
      <c r="I91" s="7">
        <v>5</v>
      </c>
      <c r="J91" s="7">
        <v>4</v>
      </c>
      <c r="K91" s="7">
        <f t="shared" si="204"/>
        <v>41</v>
      </c>
      <c r="L91" s="7">
        <v>5</v>
      </c>
      <c r="M91" s="7">
        <v>4</v>
      </c>
      <c r="N91" s="7">
        <v>6</v>
      </c>
      <c r="O91" s="7">
        <v>4</v>
      </c>
      <c r="P91" s="7">
        <v>5</v>
      </c>
      <c r="Q91" s="7">
        <v>3</v>
      </c>
      <c r="R91" s="7">
        <v>3</v>
      </c>
      <c r="S91" s="7">
        <v>5</v>
      </c>
      <c r="T91" s="7">
        <v>4</v>
      </c>
      <c r="U91" s="7">
        <f t="shared" si="205"/>
        <v>39</v>
      </c>
      <c r="V91" s="7">
        <f t="shared" si="206"/>
        <v>80</v>
      </c>
    </row>
    <row r="92" spans="1:22" x14ac:dyDescent="0.2">
      <c r="A92" s="2" t="str">
        <f>IF(A84 &lt;&gt; "Solo",CONCATENATE(A84, " Handicap Strokes"),"")</f>
        <v>Shawn Flynn Handicap Strokes</v>
      </c>
      <c r="B92" s="7">
        <f>IF($A84 &lt;&gt; "Solo",ROUNDDOWN($E84/18,0)+IF(MOD($E84,18)&gt;=B87,1,0),"")</f>
        <v>0</v>
      </c>
      <c r="C92" s="7">
        <f t="shared" ref="C92:J92" si="211">IF($A84 &lt;&gt; "Solo",ROUNDDOWN($E84/18,0)+IF(MOD($E84,18)&gt;=C87,1,0),"")</f>
        <v>0</v>
      </c>
      <c r="D92" s="7">
        <f t="shared" si="211"/>
        <v>1</v>
      </c>
      <c r="E92" s="7">
        <f t="shared" si="211"/>
        <v>1</v>
      </c>
      <c r="F92" s="7">
        <f t="shared" si="211"/>
        <v>1</v>
      </c>
      <c r="G92" s="7">
        <f t="shared" si="211"/>
        <v>1</v>
      </c>
      <c r="H92" s="7">
        <f t="shared" si="211"/>
        <v>0</v>
      </c>
      <c r="I92" s="7">
        <f t="shared" si="211"/>
        <v>1</v>
      </c>
      <c r="J92" s="7">
        <f t="shared" si="211"/>
        <v>0</v>
      </c>
      <c r="K92" s="7">
        <f t="shared" si="204"/>
        <v>5</v>
      </c>
      <c r="L92" s="7">
        <f t="shared" ref="L92:T92" si="212">IF($A84 &lt;&gt; "Solo",ROUNDDOWN($E84/18,0)+IF(MOD($E84,18)&gt;=L87,1,0),"")</f>
        <v>1</v>
      </c>
      <c r="M92" s="7">
        <f t="shared" si="212"/>
        <v>0</v>
      </c>
      <c r="N92" s="7">
        <f t="shared" si="212"/>
        <v>1</v>
      </c>
      <c r="O92" s="7">
        <f t="shared" si="212"/>
        <v>0</v>
      </c>
      <c r="P92" s="7">
        <f t="shared" si="212"/>
        <v>1</v>
      </c>
      <c r="Q92" s="7">
        <f t="shared" si="212"/>
        <v>1</v>
      </c>
      <c r="R92" s="7">
        <f t="shared" si="212"/>
        <v>0</v>
      </c>
      <c r="S92" s="7">
        <f t="shared" si="212"/>
        <v>0</v>
      </c>
      <c r="T92" s="7">
        <f t="shared" si="212"/>
        <v>1</v>
      </c>
      <c r="U92" s="7">
        <f t="shared" si="205"/>
        <v>5</v>
      </c>
      <c r="V92" s="7">
        <f t="shared" si="206"/>
        <v>10</v>
      </c>
    </row>
    <row r="93" spans="1:22" x14ac:dyDescent="0.2">
      <c r="A93" s="2" t="str">
        <f>IF(A84 &lt;&gt; "Solo",CONCATENATE(A84, " Net (Gross - HCP)"),"")</f>
        <v>Shawn Flynn Net (Gross - HCP)</v>
      </c>
      <c r="B93" s="7">
        <f t="shared" ref="B93" si="213">IF($A84 &lt;&gt; "Solo",IF(B91-B92&gt;0,B91-B92,""),"")</f>
        <v>4</v>
      </c>
      <c r="C93" s="7">
        <f t="shared" ref="C93" si="214">IF($A84 &lt;&gt; "Solo",IF(C91-C92&gt;0,C91-C92,""),"")</f>
        <v>3</v>
      </c>
      <c r="D93" s="7">
        <f t="shared" ref="D93" si="215">IF($A84 &lt;&gt; "Solo",IF(D91-D92&gt;0,D91-D92,""),"")</f>
        <v>5</v>
      </c>
      <c r="E93" s="7">
        <f t="shared" ref="E93" si="216">IF($A84 &lt;&gt; "Solo",IF(E91-E92&gt;0,E91-E92,""),"")</f>
        <v>4</v>
      </c>
      <c r="F93" s="7">
        <f t="shared" ref="F93" si="217">IF($A84 &lt;&gt; "Solo",IF(F91-F92&gt;0,F91-F92,""),"")</f>
        <v>4</v>
      </c>
      <c r="G93" s="7">
        <f t="shared" ref="G93" si="218">IF($A84 &lt;&gt; "Solo",IF(G91-G92&gt;0,G91-G92,""),"")</f>
        <v>4</v>
      </c>
      <c r="H93" s="7">
        <f t="shared" ref="H93" si="219">IF($A84 &lt;&gt; "Solo",IF(H91-H92&gt;0,H91-H92,""),"")</f>
        <v>4</v>
      </c>
      <c r="I93" s="7">
        <f t="shared" ref="I93" si="220">IF($A84 &lt;&gt; "Solo",IF(I91-I92&gt;0,I91-I92,""),"")</f>
        <v>4</v>
      </c>
      <c r="J93" s="7">
        <f t="shared" ref="J93" si="221">IF($A84 &lt;&gt; "Solo",IF(J91-J92&gt;0,J91-J92,""),"")</f>
        <v>4</v>
      </c>
      <c r="K93" s="7">
        <f t="shared" si="204"/>
        <v>36</v>
      </c>
      <c r="L93" s="7">
        <f t="shared" ref="L93" si="222">IF($A84 &lt;&gt; "Solo",IF(L91-L92&gt;0,L91-L92,""),"")</f>
        <v>4</v>
      </c>
      <c r="M93" s="7">
        <f t="shared" ref="M93" si="223">IF($A84 &lt;&gt; "Solo",IF(M91-M92&gt;0,M91-M92,""),"")</f>
        <v>4</v>
      </c>
      <c r="N93" s="7">
        <f t="shared" ref="N93" si="224">IF($A84 &lt;&gt; "Solo",IF(N91-N92&gt;0,N91-N92,""),"")</f>
        <v>5</v>
      </c>
      <c r="O93" s="7">
        <f t="shared" ref="O93" si="225">IF($A84 &lt;&gt; "Solo",IF(O91-O92&gt;0,O91-O92,""),"")</f>
        <v>4</v>
      </c>
      <c r="P93" s="7">
        <f t="shared" ref="P93" si="226">IF($A84 &lt;&gt; "Solo",IF(P91-P92&gt;0,P91-P92,""),"")</f>
        <v>4</v>
      </c>
      <c r="Q93" s="7">
        <f t="shared" ref="Q93" si="227">IF($A84 &lt;&gt; "Solo",IF(Q91-Q92&gt;0,Q91-Q92,""),"")</f>
        <v>2</v>
      </c>
      <c r="R93" s="7">
        <f t="shared" ref="R93" si="228">IF($A84 &lt;&gt; "Solo",IF(R91-R92&gt;0,R91-R92,""),"")</f>
        <v>3</v>
      </c>
      <c r="S93" s="7">
        <f t="shared" ref="S93" si="229">IF($A84 &lt;&gt; "Solo",IF(S91-S92&gt;0,S91-S92,""),"")</f>
        <v>5</v>
      </c>
      <c r="T93" s="7">
        <f t="shared" ref="T93" si="230">IF($A84 &lt;&gt; "Solo",IF(T91-T92&gt;0,T91-T92,""),"")</f>
        <v>3</v>
      </c>
      <c r="U93" s="7">
        <f t="shared" si="205"/>
        <v>34</v>
      </c>
      <c r="V93" s="7">
        <f t="shared" si="206"/>
        <v>70</v>
      </c>
    </row>
    <row r="94" spans="1:22" x14ac:dyDescent="0.2">
      <c r="A94" s="2" t="str">
        <f>CONCATENATE(A82, " Best Ball")</f>
        <v>Team 6 Best Ball</v>
      </c>
      <c r="B94" s="7">
        <f>IF(AND(ISBLANK(B88), ISBLANK(B91)),"",MIN(B90,B93))</f>
        <v>4</v>
      </c>
      <c r="C94" s="7">
        <f t="shared" ref="C94" si="231">IF(AND(ISBLANK(C88), ISBLANK(C91)),"",MIN(C90,C93))</f>
        <v>3</v>
      </c>
      <c r="D94" s="7">
        <f t="shared" ref="D94" si="232">IF(AND(ISBLANK(D88), ISBLANK(D91)),"",MIN(D90,D93))</f>
        <v>4</v>
      </c>
      <c r="E94" s="7">
        <f t="shared" ref="E94" si="233">IF(AND(ISBLANK(E88), ISBLANK(E91)),"",MIN(E90,E93))</f>
        <v>4</v>
      </c>
      <c r="F94" s="7">
        <f t="shared" ref="F94" si="234">IF(AND(ISBLANK(F88), ISBLANK(F91)),"",MIN(F90,F93))</f>
        <v>4</v>
      </c>
      <c r="G94" s="7">
        <f t="shared" ref="G94" si="235">IF(AND(ISBLANK(G88), ISBLANK(G91)),"",MIN(G90,G93))</f>
        <v>4</v>
      </c>
      <c r="H94" s="7">
        <f t="shared" ref="H94" si="236">IF(AND(ISBLANK(H88), ISBLANK(H91)),"",MIN(H90,H93))</f>
        <v>4</v>
      </c>
      <c r="I94" s="7">
        <f t="shared" ref="I94" si="237">IF(AND(ISBLANK(I88), ISBLANK(I91)),"",MIN(I90,I93))</f>
        <v>4</v>
      </c>
      <c r="J94" s="7">
        <f t="shared" ref="J94" si="238">IF(AND(ISBLANK(J88), ISBLANK(J91)),"",MIN(J90,J93))</f>
        <v>4</v>
      </c>
      <c r="K94" s="7">
        <f t="shared" si="204"/>
        <v>35</v>
      </c>
      <c r="L94" s="7">
        <f t="shared" ref="L94" si="239">IF(AND(ISBLANK(L88), ISBLANK(L91)),"",MIN(L90,L93))</f>
        <v>4</v>
      </c>
      <c r="M94" s="7">
        <f t="shared" ref="M94" si="240">IF(AND(ISBLANK(M88), ISBLANK(M91)),"",MIN(M90,M93))</f>
        <v>4</v>
      </c>
      <c r="N94" s="7">
        <f t="shared" ref="N94" si="241">IF(AND(ISBLANK(N88), ISBLANK(N91)),"",MIN(N90,N93))</f>
        <v>5</v>
      </c>
      <c r="O94" s="7">
        <f t="shared" ref="O94" si="242">IF(AND(ISBLANK(O88), ISBLANK(O91)),"",MIN(O90,O93))</f>
        <v>4</v>
      </c>
      <c r="P94" s="7">
        <f t="shared" ref="P94" si="243">IF(AND(ISBLANK(P88), ISBLANK(P91)),"",MIN(P90,P93))</f>
        <v>4</v>
      </c>
      <c r="Q94" s="7">
        <f t="shared" ref="Q94" si="244">IF(AND(ISBLANK(Q88), ISBLANK(Q91)),"",MIN(Q90,Q93))</f>
        <v>2</v>
      </c>
      <c r="R94" s="7">
        <f t="shared" ref="R94" si="245">IF(AND(ISBLANK(R88), ISBLANK(R91)),"",MIN(R90,R93))</f>
        <v>3</v>
      </c>
      <c r="S94" s="7">
        <f t="shared" ref="S94" si="246">IF(AND(ISBLANK(S88), ISBLANK(S91)),"",MIN(S90,S93))</f>
        <v>5</v>
      </c>
      <c r="T94" s="7">
        <f t="shared" ref="T94" si="247">IF(AND(ISBLANK(T88), ISBLANK(T91)),"",MIN(T90,T93))</f>
        <v>3</v>
      </c>
      <c r="U94" s="7">
        <f t="shared" si="205"/>
        <v>34</v>
      </c>
      <c r="V94" s="7">
        <f t="shared" si="206"/>
        <v>69</v>
      </c>
    </row>
    <row r="95" spans="1:22" ht="15.75" customHeight="1" x14ac:dyDescent="0.2">
      <c r="A95" s="2"/>
      <c r="B95" s="2"/>
      <c r="C95" s="2"/>
      <c r="D95" s="4" t="s">
        <v>17</v>
      </c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spans="1:22" ht="15.75" customHeight="1" x14ac:dyDescent="0.2">
      <c r="A96" s="2" t="s">
        <v>49</v>
      </c>
      <c r="B96" s="2" t="s">
        <v>62</v>
      </c>
      <c r="C96" s="2" t="s">
        <v>2</v>
      </c>
      <c r="D96" s="3" t="s">
        <v>31</v>
      </c>
      <c r="E96" s="4" t="s">
        <v>28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spans="1:22" x14ac:dyDescent="0.2">
      <c r="A97" s="2" t="str" cm="1">
        <f t="array" ref="A97">INDEX(PlayerNames,SUMPRODUCT((PlayerTeamNo=VALUE(RIGHT(A96,1)))*(PlayerPlayerNo=1)*ROW(PlayerNames))-1)</f>
        <v>Scott O'Hare</v>
      </c>
      <c r="B97" s="2" t="str" cm="1">
        <f t="array" ref="B97">INDEX(PlayerTees,SUMPRODUCT((PlayerTeamNo=VALUE(RIGHT(A96,1)))*(PlayerPlayerNo=1)*ROW(PlayerTees))-1)</f>
        <v>Blue</v>
      </c>
      <c r="C97" s="2" cm="1">
        <f t="array" ref="C97">IF(MaxIndex &gt; 0,MIN(INDEX(PlayerHandicaps,SUMPRODUCT((PlayerTeamNo=VALUE(RIGHT(A96,1)))*(PlayerPlayerNo=1)*ROW(PlayerHandicaps))-1),MaxIndex),INDEX(PlayerHandicaps,SUMPRODUCT((PlayerTeamNo=VALUE(RIGHT(A96,1)))*(PlayerPlayerNo=1)*ROW(PlayerHandicaps))-1))</f>
        <v>13.6</v>
      </c>
      <c r="D97" s="2" cm="1">
        <f t="array" ref="D97">IF(C97="","",IF(C97=0,0,IF(INDEX(PlayerGender,SUMPRODUCT((PlayerTeamNo=VALUE(RIGHT(A96,1)))*(PlayerPlayerNo=1)*ROW(PlayerGender))-1)="M",ROUND((C97*(HLOOKUP(B97,MensTees,2,FALSE)/113))+(HLOOKUP(B97,MensTees,3,FALSE)-HLOOKUP(B97,MensTees,4,FALSE)),0),ROUND((C97*(HLOOKUP(B97,WomenTees,2,FALSE)/113))+(HLOOKUP(B97,WomenTees,3,FALSE)-HLOOKUP(B97,WomenTees,4,FALSE)),0))))</f>
        <v>12</v>
      </c>
      <c r="E97" s="2">
        <f>IF(A98 = "Solo",D97,ROUND(D97*HandicapAllowance,0))</f>
        <v>11</v>
      </c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spans="1:22" x14ac:dyDescent="0.2">
      <c r="A98" s="2" t="str" cm="1">
        <f t="array" ref="A98">IF(ISERROR(INDEX(PlayerNames,SUMPRODUCT((PlayerTeamNo=VALUE(RIGHT(A96,1)))*(PlayerPlayerNo=2)*ROW(PlayerNames))-1)),"Solo",INDEX(PlayerNames,SUMPRODUCT((PlayerTeamNo=VALUE(RIGHT(A96,1)))*(PlayerPlayerNo=2)*ROW(PlayerNames))-1))</f>
        <v>John Bachman</v>
      </c>
      <c r="B98" s="2" t="str" cm="1">
        <f t="array" ref="B98">IF(A98&lt;&gt;"Solo",INDEX(PlayerTees,SUMPRODUCT((PlayerTeamNo=VALUE(RIGHT(A96,1)))*(PlayerPlayerNo=2)*ROW(PlayerTees))-1),"")</f>
        <v>Blue</v>
      </c>
      <c r="C98" s="2" cm="1">
        <f t="array" ref="C98">IF(A98 &lt;&gt; "Solo",IF(MaxIndex &gt; 0,MIN(INDEX(PlayerHandicaps,SUMPRODUCT((PlayerTeamNo=VALUE(RIGHT(A96,1)))*(PlayerPlayerNo=2)*ROW(PlayerHandicaps))-1),MaxIndex),INDEX(PlayerHandicaps,SUMPRODUCT((PlayerTeamNo=VALUE(RIGHT(A96,1)))*(PlayerPlayerNo=2)*ROW(PlayerHandicaps))-1)),"")</f>
        <v>24</v>
      </c>
      <c r="D98" s="2" cm="1">
        <f t="array" ref="D98">IF(C98="","",IF(C98=0,0,IF(INDEX(PlayerGender,SUMPRODUCT((PlayerTeamNo=VALUE(RIGHT(A96,1)))*(PlayerPlayerNo=2)*ROW(PlayerGender))-1)="M",ROUND((C98*(HLOOKUP(B98,MensTees,2,FALSE)/113))+(HLOOKUP(B98,MensTees,3,FALSE)-HLOOKUP(B98,MensTees,4,FALSE)),0),ROUND((C98*(HLOOKUP(B98,WomenTees,2,FALSE)/113))+(HLOOKUP(B98,WomenTees,3,FALSE)-HLOOKUP(B98,WomenTees,4,FALSE)),0))))</f>
        <v>24</v>
      </c>
      <c r="E98" s="2">
        <f>IF(A98 &lt;&gt; "Solo",ROUND(D98*HandicapAllowance,0),"")</f>
        <v>22</v>
      </c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spans="1:22" x14ac:dyDescent="0.2">
      <c r="A99" s="2" t="s">
        <v>3</v>
      </c>
      <c r="B99" s="5">
        <v>1</v>
      </c>
      <c r="C99" s="5">
        <v>2</v>
      </c>
      <c r="D99" s="5">
        <v>3</v>
      </c>
      <c r="E99" s="5">
        <v>4</v>
      </c>
      <c r="F99" s="5">
        <v>5</v>
      </c>
      <c r="G99" s="5">
        <v>6</v>
      </c>
      <c r="H99" s="5">
        <v>7</v>
      </c>
      <c r="I99" s="5">
        <v>8</v>
      </c>
      <c r="J99" s="5">
        <v>9</v>
      </c>
      <c r="K99" s="5"/>
      <c r="L99" s="5">
        <v>10</v>
      </c>
      <c r="M99" s="5">
        <v>11</v>
      </c>
      <c r="N99" s="5">
        <v>12</v>
      </c>
      <c r="O99" s="5">
        <v>13</v>
      </c>
      <c r="P99" s="5">
        <v>14</v>
      </c>
      <c r="Q99" s="5">
        <v>15</v>
      </c>
      <c r="R99" s="5">
        <v>16</v>
      </c>
      <c r="S99" s="5">
        <v>17</v>
      </c>
      <c r="T99" s="5">
        <v>18</v>
      </c>
      <c r="U99" s="5"/>
      <c r="V99" s="2"/>
    </row>
    <row r="100" spans="1:22" x14ac:dyDescent="0.2">
      <c r="A100" s="2" t="s">
        <v>60</v>
      </c>
      <c r="B100" s="6" cm="1">
        <f t="array" ref="B100">INDEX(HoleParM,B99,0)</f>
        <v>4</v>
      </c>
      <c r="C100" s="6" cm="1">
        <f t="array" ref="C100">INDEX(HoleParM,C99,0)</f>
        <v>3</v>
      </c>
      <c r="D100" s="6" cm="1">
        <f t="array" ref="D100">INDEX(HoleParM,D99,0)</f>
        <v>5</v>
      </c>
      <c r="E100" s="6" cm="1">
        <f t="array" ref="E100">INDEX(HoleParM,E99,0)</f>
        <v>4</v>
      </c>
      <c r="F100" s="6" cm="1">
        <f t="array" ref="F100">INDEX(HoleParM,F99,0)</f>
        <v>4</v>
      </c>
      <c r="G100" s="6" cm="1">
        <f t="array" ref="G100">INDEX(HoleParM,G99,0)</f>
        <v>4</v>
      </c>
      <c r="H100" s="6" cm="1">
        <f t="array" ref="H100">INDEX(HoleParM,H99,0)</f>
        <v>3</v>
      </c>
      <c r="I100" s="6" cm="1">
        <f t="array" ref="I100">INDEX(HoleParM,I99,0)</f>
        <v>5</v>
      </c>
      <c r="J100" s="6" cm="1">
        <f t="array" ref="J100">INDEX(HoleParM,J99,0)</f>
        <v>4</v>
      </c>
      <c r="K100" s="7">
        <f>IF(SUM(B100:J100)&gt;0,SUM(B100:J100),"")</f>
        <v>36</v>
      </c>
      <c r="L100" s="6" cm="1">
        <f t="array" ref="L100">INDEX(HoleParM,L99,0)</f>
        <v>5</v>
      </c>
      <c r="M100" s="6" cm="1">
        <f t="array" ref="M100">INDEX(HoleParM,M99,0)</f>
        <v>4</v>
      </c>
      <c r="N100" s="6" cm="1">
        <f t="array" ref="N100">INDEX(HoleParM,N99,0)</f>
        <v>5</v>
      </c>
      <c r="O100" s="6" cm="1">
        <f t="array" ref="O100">INDEX(HoleParM,O99,0)</f>
        <v>3</v>
      </c>
      <c r="P100" s="6" cm="1">
        <f t="array" ref="P100">INDEX(HoleParM,P99,0)</f>
        <v>4</v>
      </c>
      <c r="Q100" s="6" cm="1">
        <f t="array" ref="Q100">INDEX(HoleParM,Q99,0)</f>
        <v>4</v>
      </c>
      <c r="R100" s="6" cm="1">
        <f t="array" ref="R100">INDEX(HoleParM,R99,0)</f>
        <v>3</v>
      </c>
      <c r="S100" s="6" cm="1">
        <f t="array" ref="S100">INDEX(HoleParM,S99,0)</f>
        <v>4</v>
      </c>
      <c r="T100" s="6" cm="1">
        <f t="array" ref="T100">INDEX(HoleParM,T99,0)</f>
        <v>4</v>
      </c>
      <c r="U100" s="7">
        <f>IF(SUM(L100:T100)&gt;0,SUM(L100:T100),"")</f>
        <v>36</v>
      </c>
      <c r="V100" s="7">
        <f>IF((SUM(B100:J100)+SUM(L100:T100))&gt;0,SUM(B100:J100)+SUM(L100:T100),"")</f>
        <v>72</v>
      </c>
    </row>
    <row r="101" spans="1:22" x14ac:dyDescent="0.2">
      <c r="A101" s="2" t="s">
        <v>1</v>
      </c>
      <c r="B101" s="6" cm="1">
        <f t="array" ref="B101">INDEX(HoleHandicapM,B99,0)</f>
        <v>11</v>
      </c>
      <c r="C101" s="6" cm="1">
        <f t="array" ref="C101">INDEX(HoleHandicapM,C99,0)</f>
        <v>17</v>
      </c>
      <c r="D101" s="6" cm="1">
        <f t="array" ref="D101">INDEX(HoleHandicapM,D99,0)</f>
        <v>3</v>
      </c>
      <c r="E101" s="6" cm="1">
        <f t="array" ref="E101">INDEX(HoleHandicapM,E99,0)</f>
        <v>5</v>
      </c>
      <c r="F101" s="6" cm="1">
        <f t="array" ref="F101">INDEX(HoleHandicapM,F99,0)</f>
        <v>7</v>
      </c>
      <c r="G101" s="6" cm="1">
        <f t="array" ref="G101">INDEX(HoleHandicapM,G99,0)</f>
        <v>9</v>
      </c>
      <c r="H101" s="6" cm="1">
        <f t="array" ref="H101">INDEX(HoleHandicapM,H99,0)</f>
        <v>15</v>
      </c>
      <c r="I101" s="6" cm="1">
        <f t="array" ref="I101">INDEX(HoleHandicapM,I99,0)</f>
        <v>1</v>
      </c>
      <c r="J101" s="6" cm="1">
        <f t="array" ref="J101">INDEX(HoleHandicapM,J99,0)</f>
        <v>13</v>
      </c>
      <c r="K101" s="6" t="s">
        <v>63</v>
      </c>
      <c r="L101" s="6" cm="1">
        <f t="array" ref="L101">INDEX(HoleHandicapM,L99,0)</f>
        <v>4</v>
      </c>
      <c r="M101" s="6" cm="1">
        <f t="array" ref="M101">INDEX(HoleHandicapM,M99,0)</f>
        <v>18</v>
      </c>
      <c r="N101" s="6" cm="1">
        <f t="array" ref="N101">INDEX(HoleHandicapM,N99,0)</f>
        <v>10</v>
      </c>
      <c r="O101" s="6" cm="1">
        <f t="array" ref="O101">INDEX(HoleHandicapM,O99,0)</f>
        <v>12</v>
      </c>
      <c r="P101" s="6" cm="1">
        <f t="array" ref="P101">INDEX(HoleHandicapM,P99,0)</f>
        <v>2</v>
      </c>
      <c r="Q101" s="6" cm="1">
        <f t="array" ref="Q101">INDEX(HoleHandicapM,Q99,0)</f>
        <v>8</v>
      </c>
      <c r="R101" s="6" cm="1">
        <f t="array" ref="R101">INDEX(HoleHandicapM,R99,0)</f>
        <v>14</v>
      </c>
      <c r="S101" s="6" cm="1">
        <f t="array" ref="S101">INDEX(HoleHandicapM,S99,0)</f>
        <v>16</v>
      </c>
      <c r="T101" s="6" cm="1">
        <f t="array" ref="T101">INDEX(HoleHandicapM,T99,0)</f>
        <v>6</v>
      </c>
      <c r="U101" s="6" t="s">
        <v>64</v>
      </c>
      <c r="V101" s="2" t="s">
        <v>61</v>
      </c>
    </row>
    <row r="102" spans="1:22" x14ac:dyDescent="0.2">
      <c r="A102" s="2" t="str">
        <f>CONCATENATE(A97, " Gross")</f>
        <v>Scott O'Hare Gross</v>
      </c>
      <c r="B102" s="7">
        <v>4</v>
      </c>
      <c r="C102" s="7">
        <v>4</v>
      </c>
      <c r="D102" s="7">
        <v>7</v>
      </c>
      <c r="E102" s="7">
        <v>5</v>
      </c>
      <c r="F102" s="7">
        <v>5</v>
      </c>
      <c r="G102" s="7">
        <v>5</v>
      </c>
      <c r="H102" s="7">
        <v>4</v>
      </c>
      <c r="I102" s="7">
        <v>6</v>
      </c>
      <c r="J102" s="7">
        <v>6</v>
      </c>
      <c r="K102" s="7">
        <f t="shared" ref="K102:K108" si="248">IF(OR(ISBLANK(B102),B102=""),"",SUM(B102:J102))</f>
        <v>46</v>
      </c>
      <c r="L102" s="7">
        <v>7</v>
      </c>
      <c r="M102" s="7">
        <v>5</v>
      </c>
      <c r="N102" s="7">
        <v>5</v>
      </c>
      <c r="O102" s="7">
        <v>5</v>
      </c>
      <c r="P102" s="7">
        <v>5</v>
      </c>
      <c r="Q102" s="7">
        <v>4</v>
      </c>
      <c r="R102" s="7">
        <v>3</v>
      </c>
      <c r="S102" s="7">
        <v>5</v>
      </c>
      <c r="T102" s="7">
        <v>6</v>
      </c>
      <c r="U102" s="7">
        <f t="shared" ref="U102:U108" si="249">IF(OR(ISBLANK(L102),L102=""),"",SUM(L102:T102))</f>
        <v>45</v>
      </c>
      <c r="V102" s="7">
        <f t="shared" ref="V102:V108" si="250">IF(OR(ISBLANK(B102),B102=""),"",SUM(B102:J102)+SUM(L102:T102))</f>
        <v>91</v>
      </c>
    </row>
    <row r="103" spans="1:22" x14ac:dyDescent="0.2">
      <c r="A103" s="2" t="str">
        <f>CONCATENATE(A97, " Handicap Strokes")</f>
        <v>Scott O'Hare Handicap Strokes</v>
      </c>
      <c r="B103" s="7">
        <f t="shared" ref="B103:J103" si="251">ROUNDDOWN($E97/18,0)+IF(MOD($E97,18)&gt;=B101,1,0)</f>
        <v>1</v>
      </c>
      <c r="C103" s="7">
        <f t="shared" si="251"/>
        <v>0</v>
      </c>
      <c r="D103" s="7">
        <f t="shared" si="251"/>
        <v>1</v>
      </c>
      <c r="E103" s="7">
        <f t="shared" si="251"/>
        <v>1</v>
      </c>
      <c r="F103" s="7">
        <f t="shared" si="251"/>
        <v>1</v>
      </c>
      <c r="G103" s="7">
        <f t="shared" si="251"/>
        <v>1</v>
      </c>
      <c r="H103" s="7">
        <f t="shared" si="251"/>
        <v>0</v>
      </c>
      <c r="I103" s="7">
        <f t="shared" si="251"/>
        <v>1</v>
      </c>
      <c r="J103" s="7">
        <f t="shared" si="251"/>
        <v>0</v>
      </c>
      <c r="K103" s="7">
        <f t="shared" si="248"/>
        <v>6</v>
      </c>
      <c r="L103" s="7">
        <f t="shared" ref="L103:T103" si="252">ROUNDDOWN($E97/18,0)+IF(MOD($E97,18)&gt;=L101,1,0)</f>
        <v>1</v>
      </c>
      <c r="M103" s="7">
        <f t="shared" si="252"/>
        <v>0</v>
      </c>
      <c r="N103" s="7">
        <f t="shared" si="252"/>
        <v>1</v>
      </c>
      <c r="O103" s="7">
        <f t="shared" si="252"/>
        <v>0</v>
      </c>
      <c r="P103" s="7">
        <f t="shared" si="252"/>
        <v>1</v>
      </c>
      <c r="Q103" s="7">
        <f t="shared" si="252"/>
        <v>1</v>
      </c>
      <c r="R103" s="7">
        <f t="shared" si="252"/>
        <v>0</v>
      </c>
      <c r="S103" s="7">
        <f t="shared" si="252"/>
        <v>0</v>
      </c>
      <c r="T103" s="7">
        <f t="shared" si="252"/>
        <v>1</v>
      </c>
      <c r="U103" s="7">
        <f t="shared" si="249"/>
        <v>5</v>
      </c>
      <c r="V103" s="7">
        <f t="shared" si="250"/>
        <v>11</v>
      </c>
    </row>
    <row r="104" spans="1:22" x14ac:dyDescent="0.2">
      <c r="A104" s="2" t="str">
        <f>CONCATENATE(A97, " Net (Gross - HCP)")</f>
        <v>Scott O'Hare Net (Gross - HCP)</v>
      </c>
      <c r="B104" s="7">
        <f t="shared" ref="B104:J104" si="253">IF(B102-B103&gt;0,B102-B103,"")</f>
        <v>3</v>
      </c>
      <c r="C104" s="7">
        <f t="shared" si="253"/>
        <v>4</v>
      </c>
      <c r="D104" s="7">
        <f t="shared" si="253"/>
        <v>6</v>
      </c>
      <c r="E104" s="7">
        <f t="shared" si="253"/>
        <v>4</v>
      </c>
      <c r="F104" s="7">
        <f t="shared" si="253"/>
        <v>4</v>
      </c>
      <c r="G104" s="7">
        <f t="shared" si="253"/>
        <v>4</v>
      </c>
      <c r="H104" s="7">
        <f t="shared" si="253"/>
        <v>4</v>
      </c>
      <c r="I104" s="7">
        <f t="shared" si="253"/>
        <v>5</v>
      </c>
      <c r="J104" s="7">
        <f t="shared" si="253"/>
        <v>6</v>
      </c>
      <c r="K104" s="7">
        <f t="shared" si="248"/>
        <v>40</v>
      </c>
      <c r="L104" s="7">
        <f t="shared" ref="L104:T104" si="254">IF(L102-L103&gt;0,L102-L103,"")</f>
        <v>6</v>
      </c>
      <c r="M104" s="7">
        <f t="shared" si="254"/>
        <v>5</v>
      </c>
      <c r="N104" s="7">
        <f t="shared" si="254"/>
        <v>4</v>
      </c>
      <c r="O104" s="7">
        <f t="shared" si="254"/>
        <v>5</v>
      </c>
      <c r="P104" s="7">
        <f t="shared" si="254"/>
        <v>4</v>
      </c>
      <c r="Q104" s="7">
        <f t="shared" si="254"/>
        <v>3</v>
      </c>
      <c r="R104" s="7">
        <f t="shared" si="254"/>
        <v>3</v>
      </c>
      <c r="S104" s="7">
        <f t="shared" si="254"/>
        <v>5</v>
      </c>
      <c r="T104" s="7">
        <f t="shared" si="254"/>
        <v>5</v>
      </c>
      <c r="U104" s="7">
        <f t="shared" si="249"/>
        <v>40</v>
      </c>
      <c r="V104" s="7">
        <f t="shared" si="250"/>
        <v>80</v>
      </c>
    </row>
    <row r="105" spans="1:22" x14ac:dyDescent="0.2">
      <c r="A105" s="2" t="str">
        <f>IF(A98 &lt;&gt; "Solo",CONCATENATE(A98, " Gross"),"")</f>
        <v>John Bachman Gross</v>
      </c>
      <c r="B105" s="7">
        <v>6</v>
      </c>
      <c r="C105" s="7">
        <v>5</v>
      </c>
      <c r="D105" s="7">
        <v>6</v>
      </c>
      <c r="E105" s="7">
        <v>5</v>
      </c>
      <c r="F105" s="7">
        <v>5</v>
      </c>
      <c r="G105" s="7">
        <v>4</v>
      </c>
      <c r="H105" s="7">
        <v>5</v>
      </c>
      <c r="I105" s="7">
        <v>7</v>
      </c>
      <c r="J105" s="7">
        <v>5</v>
      </c>
      <c r="K105" s="7">
        <f t="shared" si="248"/>
        <v>48</v>
      </c>
      <c r="L105" s="7">
        <v>8</v>
      </c>
      <c r="M105" s="7">
        <v>5</v>
      </c>
      <c r="N105" s="7">
        <v>7</v>
      </c>
      <c r="O105" s="7">
        <v>5</v>
      </c>
      <c r="P105" s="7">
        <v>6</v>
      </c>
      <c r="Q105" s="7">
        <v>5</v>
      </c>
      <c r="R105" s="7">
        <v>5</v>
      </c>
      <c r="S105" s="7">
        <v>7</v>
      </c>
      <c r="T105" s="7">
        <v>7</v>
      </c>
      <c r="U105" s="7">
        <f t="shared" si="249"/>
        <v>55</v>
      </c>
      <c r="V105" s="7">
        <f t="shared" si="250"/>
        <v>103</v>
      </c>
    </row>
    <row r="106" spans="1:22" x14ac:dyDescent="0.2">
      <c r="A106" s="2" t="str">
        <f>IF(A98 &lt;&gt; "Solo",CONCATENATE(A98, " Handicap Strokes"),"")</f>
        <v>John Bachman Handicap Strokes</v>
      </c>
      <c r="B106" s="7">
        <f>IF($A98 &lt;&gt; "Solo",ROUNDDOWN($E98/18,0)+IF(MOD($E98,18)&gt;=B101,1,0),"")</f>
        <v>1</v>
      </c>
      <c r="C106" s="7">
        <f t="shared" ref="C106:J106" si="255">IF($A98 &lt;&gt; "Solo",ROUNDDOWN($E98/18,0)+IF(MOD($E98,18)&gt;=C101,1,0),"")</f>
        <v>1</v>
      </c>
      <c r="D106" s="7">
        <f t="shared" si="255"/>
        <v>2</v>
      </c>
      <c r="E106" s="7">
        <f t="shared" si="255"/>
        <v>1</v>
      </c>
      <c r="F106" s="7">
        <f t="shared" si="255"/>
        <v>1</v>
      </c>
      <c r="G106" s="7">
        <f t="shared" si="255"/>
        <v>1</v>
      </c>
      <c r="H106" s="7">
        <f t="shared" si="255"/>
        <v>1</v>
      </c>
      <c r="I106" s="7">
        <f t="shared" si="255"/>
        <v>2</v>
      </c>
      <c r="J106" s="7">
        <f t="shared" si="255"/>
        <v>1</v>
      </c>
      <c r="K106" s="7">
        <f t="shared" si="248"/>
        <v>11</v>
      </c>
      <c r="L106" s="7">
        <f t="shared" ref="L106:T106" si="256">IF($A98 &lt;&gt; "Solo",ROUNDDOWN($E98/18,0)+IF(MOD($E98,18)&gt;=L101,1,0),"")</f>
        <v>2</v>
      </c>
      <c r="M106" s="7">
        <f t="shared" si="256"/>
        <v>1</v>
      </c>
      <c r="N106" s="7">
        <f t="shared" si="256"/>
        <v>1</v>
      </c>
      <c r="O106" s="7">
        <f t="shared" si="256"/>
        <v>1</v>
      </c>
      <c r="P106" s="7">
        <f t="shared" si="256"/>
        <v>2</v>
      </c>
      <c r="Q106" s="7">
        <f t="shared" si="256"/>
        <v>1</v>
      </c>
      <c r="R106" s="7">
        <f t="shared" si="256"/>
        <v>1</v>
      </c>
      <c r="S106" s="7">
        <f t="shared" si="256"/>
        <v>1</v>
      </c>
      <c r="T106" s="7">
        <f t="shared" si="256"/>
        <v>1</v>
      </c>
      <c r="U106" s="7">
        <f t="shared" si="249"/>
        <v>11</v>
      </c>
      <c r="V106" s="7">
        <f t="shared" si="250"/>
        <v>22</v>
      </c>
    </row>
    <row r="107" spans="1:22" x14ac:dyDescent="0.2">
      <c r="A107" s="2" t="str">
        <f>IF(A98 &lt;&gt; "Solo",CONCATENATE(A98, " Net (Gross - HCP)"),"")</f>
        <v>John Bachman Net (Gross - HCP)</v>
      </c>
      <c r="B107" s="7">
        <f t="shared" ref="B107" si="257">IF($A98 &lt;&gt; "Solo",IF(B105-B106&gt;0,B105-B106,""),"")</f>
        <v>5</v>
      </c>
      <c r="C107" s="7">
        <f t="shared" ref="C107" si="258">IF($A98 &lt;&gt; "Solo",IF(C105-C106&gt;0,C105-C106,""),"")</f>
        <v>4</v>
      </c>
      <c r="D107" s="7">
        <f t="shared" ref="D107" si="259">IF($A98 &lt;&gt; "Solo",IF(D105-D106&gt;0,D105-D106,""),"")</f>
        <v>4</v>
      </c>
      <c r="E107" s="7">
        <f t="shared" ref="E107" si="260">IF($A98 &lt;&gt; "Solo",IF(E105-E106&gt;0,E105-E106,""),"")</f>
        <v>4</v>
      </c>
      <c r="F107" s="7">
        <f t="shared" ref="F107" si="261">IF($A98 &lt;&gt; "Solo",IF(F105-F106&gt;0,F105-F106,""),"")</f>
        <v>4</v>
      </c>
      <c r="G107" s="7">
        <f t="shared" ref="G107" si="262">IF($A98 &lt;&gt; "Solo",IF(G105-G106&gt;0,G105-G106,""),"")</f>
        <v>3</v>
      </c>
      <c r="H107" s="7">
        <f t="shared" ref="H107" si="263">IF($A98 &lt;&gt; "Solo",IF(H105-H106&gt;0,H105-H106,""),"")</f>
        <v>4</v>
      </c>
      <c r="I107" s="7">
        <f t="shared" ref="I107" si="264">IF($A98 &lt;&gt; "Solo",IF(I105-I106&gt;0,I105-I106,""),"")</f>
        <v>5</v>
      </c>
      <c r="J107" s="7">
        <f t="shared" ref="J107" si="265">IF($A98 &lt;&gt; "Solo",IF(J105-J106&gt;0,J105-J106,""),"")</f>
        <v>4</v>
      </c>
      <c r="K107" s="7">
        <f t="shared" si="248"/>
        <v>37</v>
      </c>
      <c r="L107" s="7">
        <f t="shared" ref="L107" si="266">IF($A98 &lt;&gt; "Solo",IF(L105-L106&gt;0,L105-L106,""),"")</f>
        <v>6</v>
      </c>
      <c r="M107" s="7">
        <f t="shared" ref="M107" si="267">IF($A98 &lt;&gt; "Solo",IF(M105-M106&gt;0,M105-M106,""),"")</f>
        <v>4</v>
      </c>
      <c r="N107" s="7">
        <f t="shared" ref="N107" si="268">IF($A98 &lt;&gt; "Solo",IF(N105-N106&gt;0,N105-N106,""),"")</f>
        <v>6</v>
      </c>
      <c r="O107" s="7">
        <f t="shared" ref="O107" si="269">IF($A98 &lt;&gt; "Solo",IF(O105-O106&gt;0,O105-O106,""),"")</f>
        <v>4</v>
      </c>
      <c r="P107" s="7">
        <f t="shared" ref="P107" si="270">IF($A98 &lt;&gt; "Solo",IF(P105-P106&gt;0,P105-P106,""),"")</f>
        <v>4</v>
      </c>
      <c r="Q107" s="7">
        <f t="shared" ref="Q107" si="271">IF($A98 &lt;&gt; "Solo",IF(Q105-Q106&gt;0,Q105-Q106,""),"")</f>
        <v>4</v>
      </c>
      <c r="R107" s="7">
        <f t="shared" ref="R107" si="272">IF($A98 &lt;&gt; "Solo",IF(R105-R106&gt;0,R105-R106,""),"")</f>
        <v>4</v>
      </c>
      <c r="S107" s="7">
        <f t="shared" ref="S107" si="273">IF($A98 &lt;&gt; "Solo",IF(S105-S106&gt;0,S105-S106,""),"")</f>
        <v>6</v>
      </c>
      <c r="T107" s="7">
        <f t="shared" ref="T107" si="274">IF($A98 &lt;&gt; "Solo",IF(T105-T106&gt;0,T105-T106,""),"")</f>
        <v>6</v>
      </c>
      <c r="U107" s="7">
        <f t="shared" si="249"/>
        <v>44</v>
      </c>
      <c r="V107" s="7">
        <f t="shared" si="250"/>
        <v>81</v>
      </c>
    </row>
    <row r="108" spans="1:22" x14ac:dyDescent="0.2">
      <c r="A108" s="2" t="str">
        <f>CONCATENATE(A96, " Best Ball")</f>
        <v>Team 7 Best Ball</v>
      </c>
      <c r="B108" s="7">
        <f>IF(AND(ISBLANK(B102), ISBLANK(B105)),"",MIN(B104,B107))</f>
        <v>3</v>
      </c>
      <c r="C108" s="7">
        <f t="shared" ref="C108" si="275">IF(AND(ISBLANK(C102), ISBLANK(C105)),"",MIN(C104,C107))</f>
        <v>4</v>
      </c>
      <c r="D108" s="7">
        <f t="shared" ref="D108" si="276">IF(AND(ISBLANK(D102), ISBLANK(D105)),"",MIN(D104,D107))</f>
        <v>4</v>
      </c>
      <c r="E108" s="7">
        <f t="shared" ref="E108" si="277">IF(AND(ISBLANK(E102), ISBLANK(E105)),"",MIN(E104,E107))</f>
        <v>4</v>
      </c>
      <c r="F108" s="7">
        <f t="shared" ref="F108" si="278">IF(AND(ISBLANK(F102), ISBLANK(F105)),"",MIN(F104,F107))</f>
        <v>4</v>
      </c>
      <c r="G108" s="7">
        <f t="shared" ref="G108" si="279">IF(AND(ISBLANK(G102), ISBLANK(G105)),"",MIN(G104,G107))</f>
        <v>3</v>
      </c>
      <c r="H108" s="7">
        <f t="shared" ref="H108" si="280">IF(AND(ISBLANK(H102), ISBLANK(H105)),"",MIN(H104,H107))</f>
        <v>4</v>
      </c>
      <c r="I108" s="7">
        <f t="shared" ref="I108" si="281">IF(AND(ISBLANK(I102), ISBLANK(I105)),"",MIN(I104,I107))</f>
        <v>5</v>
      </c>
      <c r="J108" s="7">
        <f t="shared" ref="J108" si="282">IF(AND(ISBLANK(J102), ISBLANK(J105)),"",MIN(J104,J107))</f>
        <v>4</v>
      </c>
      <c r="K108" s="7">
        <f t="shared" si="248"/>
        <v>35</v>
      </c>
      <c r="L108" s="7">
        <f t="shared" ref="L108" si="283">IF(AND(ISBLANK(L102), ISBLANK(L105)),"",MIN(L104,L107))</f>
        <v>6</v>
      </c>
      <c r="M108" s="7">
        <f t="shared" ref="M108" si="284">IF(AND(ISBLANK(M102), ISBLANK(M105)),"",MIN(M104,M107))</f>
        <v>4</v>
      </c>
      <c r="N108" s="7">
        <f t="shared" ref="N108" si="285">IF(AND(ISBLANK(N102), ISBLANK(N105)),"",MIN(N104,N107))</f>
        <v>4</v>
      </c>
      <c r="O108" s="7">
        <f t="shared" ref="O108" si="286">IF(AND(ISBLANK(O102), ISBLANK(O105)),"",MIN(O104,O107))</f>
        <v>4</v>
      </c>
      <c r="P108" s="7">
        <f t="shared" ref="P108" si="287">IF(AND(ISBLANK(P102), ISBLANK(P105)),"",MIN(P104,P107))</f>
        <v>4</v>
      </c>
      <c r="Q108" s="7">
        <f t="shared" ref="Q108" si="288">IF(AND(ISBLANK(Q102), ISBLANK(Q105)),"",MIN(Q104,Q107))</f>
        <v>3</v>
      </c>
      <c r="R108" s="7">
        <f t="shared" ref="R108" si="289">IF(AND(ISBLANK(R102), ISBLANK(R105)),"",MIN(R104,R107))</f>
        <v>3</v>
      </c>
      <c r="S108" s="7">
        <f t="shared" ref="S108" si="290">IF(AND(ISBLANK(S102), ISBLANK(S105)),"",MIN(S104,S107))</f>
        <v>5</v>
      </c>
      <c r="T108" s="7">
        <f t="shared" ref="T108" si="291">IF(AND(ISBLANK(T102), ISBLANK(T105)),"",MIN(T104,T107))</f>
        <v>5</v>
      </c>
      <c r="U108" s="7">
        <f t="shared" si="249"/>
        <v>38</v>
      </c>
      <c r="V108" s="7">
        <f t="shared" si="250"/>
        <v>73</v>
      </c>
    </row>
    <row r="109" spans="1:22" x14ac:dyDescent="0.2">
      <c r="A109" s="2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</row>
    <row r="110" spans="1:22" x14ac:dyDescent="0.2">
      <c r="A110" s="2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</row>
    <row r="111" spans="1:22" x14ac:dyDescent="0.2">
      <c r="A111" s="2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</row>
    <row r="112" spans="1:22" ht="15.75" customHeight="1" x14ac:dyDescent="0.2">
      <c r="A112" s="2"/>
      <c r="B112" s="2"/>
      <c r="C112" s="2"/>
      <c r="D112" s="4" t="s">
        <v>17</v>
      </c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spans="1:22" ht="15.75" customHeight="1" x14ac:dyDescent="0.2">
      <c r="A113" s="2" t="s">
        <v>50</v>
      </c>
      <c r="B113" s="2" t="s">
        <v>62</v>
      </c>
      <c r="C113" s="2" t="s">
        <v>2</v>
      </c>
      <c r="D113" s="3" t="s">
        <v>31</v>
      </c>
      <c r="E113" s="4" t="s">
        <v>28</v>
      </c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spans="1:22" x14ac:dyDescent="0.2">
      <c r="A114" s="2" t="str" cm="1">
        <f t="array" ref="A114">INDEX(PlayerNames,SUMPRODUCT((PlayerTeamNo=VALUE(RIGHT(A113,1)))*(PlayerPlayerNo=1)*ROW(PlayerNames))-1)</f>
        <v>Jim Kellum</v>
      </c>
      <c r="B114" s="2" t="str" cm="1">
        <f t="array" ref="B114">INDEX(PlayerTees,SUMPRODUCT((PlayerTeamNo=VALUE(RIGHT(A113,1)))*(PlayerPlayerNo=1)*ROW(PlayerTees))-1)</f>
        <v>Blue</v>
      </c>
      <c r="C114" s="2" cm="1">
        <f t="array" ref="C114">IF(MaxIndex &gt; 0,MIN(INDEX(PlayerHandicaps,SUMPRODUCT((PlayerTeamNo=VALUE(RIGHT(A113,1)))*(PlayerPlayerNo=1)*ROW(PlayerHandicaps))-1),MaxIndex),INDEX(PlayerHandicaps,SUMPRODUCT((PlayerTeamNo=VALUE(RIGHT(A113,1)))*(PlayerPlayerNo=1)*ROW(PlayerHandicaps))-1))</f>
        <v>13.2</v>
      </c>
      <c r="D114" s="2" cm="1">
        <f t="array" ref="D114">IF(C114="","",IF(C114=0,0,IF(INDEX(PlayerGender,SUMPRODUCT((PlayerTeamNo=VALUE(RIGHT(A113,1)))*(PlayerPlayerNo=1)*ROW(PlayerGender))-1)="M",ROUND((C114*(HLOOKUP(B114,MensTees,2,FALSE)/113))+(HLOOKUP(B114,MensTees,3,FALSE)-HLOOKUP(B114,MensTees,4,FALSE)),0),ROUND((C114*(HLOOKUP(B114,WomenTees,2,FALSE)/113))+(HLOOKUP(B114,WomenTees,3,FALSE)-HLOOKUP(B114,WomenTees,4,FALSE)),0))))</f>
        <v>12</v>
      </c>
      <c r="E114" s="2">
        <f>IF(A115 = "Solo",D114,ROUND(D114*HandicapAllowance,0))</f>
        <v>11</v>
      </c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spans="1:22" x14ac:dyDescent="0.2">
      <c r="A115" s="2" t="str" cm="1">
        <f t="array" ref="A115">IF(ISERROR(INDEX(PlayerNames,SUMPRODUCT((PlayerTeamNo=VALUE(RIGHT(A113,1)))*(PlayerPlayerNo=2)*ROW(PlayerNames))-1)),"Solo",INDEX(PlayerNames,SUMPRODUCT((PlayerTeamNo=VALUE(RIGHT(A113,1)))*(PlayerPlayerNo=2)*ROW(PlayerNames))-1))</f>
        <v>Curt Balcerzak</v>
      </c>
      <c r="B115" s="2" t="str" cm="1">
        <f t="array" ref="B115">IF(A115&lt;&gt;"Solo",INDEX(PlayerTees,SUMPRODUCT((PlayerTeamNo=VALUE(RIGHT(A113,1)))*(PlayerPlayerNo=2)*ROW(PlayerTees))-1),"")</f>
        <v>Blue</v>
      </c>
      <c r="C115" s="2" cm="1">
        <f t="array" ref="C115">IF(A115 &lt;&gt; "Solo",IF(MaxIndex &gt; 0,MIN(INDEX(PlayerHandicaps,SUMPRODUCT((PlayerTeamNo=VALUE(RIGHT(A113,1)))*(PlayerPlayerNo=2)*ROW(PlayerHandicaps))-1),MaxIndex),INDEX(PlayerHandicaps,SUMPRODUCT((PlayerTeamNo=VALUE(RIGHT(A113,1)))*(PlayerPlayerNo=2)*ROW(PlayerHandicaps))-1)),"")</f>
        <v>12.6</v>
      </c>
      <c r="D115" s="2" cm="1">
        <f t="array" ref="D115">IF(C115="","",IF(C115=0,0,IF(INDEX(PlayerGender,SUMPRODUCT((PlayerTeamNo=VALUE(RIGHT(A113,1)))*(PlayerPlayerNo=2)*ROW(PlayerGender))-1)="M",ROUND((C115*(HLOOKUP(B115,MensTees,2,FALSE)/113))+(HLOOKUP(B115,MensTees,3,FALSE)-HLOOKUP(B115,MensTees,4,FALSE)),0),ROUND((C115*(HLOOKUP(B115,WomenTees,2,FALSE)/113))+(HLOOKUP(B115,WomenTees,3,FALSE)-HLOOKUP(B115,WomenTees,4,FALSE)),0))))</f>
        <v>11</v>
      </c>
      <c r="E115" s="2">
        <f>IF(A115 &lt;&gt; "Solo",ROUND(D115*HandicapAllowance,0),"")</f>
        <v>10</v>
      </c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spans="1:22" x14ac:dyDescent="0.2">
      <c r="A116" s="2" t="s">
        <v>3</v>
      </c>
      <c r="B116" s="5">
        <v>1</v>
      </c>
      <c r="C116" s="5">
        <v>2</v>
      </c>
      <c r="D116" s="5">
        <v>3</v>
      </c>
      <c r="E116" s="5">
        <v>4</v>
      </c>
      <c r="F116" s="5">
        <v>5</v>
      </c>
      <c r="G116" s="5">
        <v>6</v>
      </c>
      <c r="H116" s="5">
        <v>7</v>
      </c>
      <c r="I116" s="5">
        <v>8</v>
      </c>
      <c r="J116" s="5">
        <v>9</v>
      </c>
      <c r="K116" s="5"/>
      <c r="L116" s="5">
        <v>10</v>
      </c>
      <c r="M116" s="5">
        <v>11</v>
      </c>
      <c r="N116" s="5">
        <v>12</v>
      </c>
      <c r="O116" s="5">
        <v>13</v>
      </c>
      <c r="P116" s="5">
        <v>14</v>
      </c>
      <c r="Q116" s="5">
        <v>15</v>
      </c>
      <c r="R116" s="5">
        <v>16</v>
      </c>
      <c r="S116" s="5">
        <v>17</v>
      </c>
      <c r="T116" s="5">
        <v>18</v>
      </c>
      <c r="U116" s="5"/>
      <c r="V116" s="2"/>
    </row>
    <row r="117" spans="1:22" x14ac:dyDescent="0.2">
      <c r="A117" s="2" t="s">
        <v>60</v>
      </c>
      <c r="B117" s="6" cm="1">
        <f t="array" ref="B117">INDEX(HoleParM,B116,0)</f>
        <v>4</v>
      </c>
      <c r="C117" s="6" cm="1">
        <f t="array" ref="C117">INDEX(HoleParM,C116,0)</f>
        <v>3</v>
      </c>
      <c r="D117" s="6" cm="1">
        <f t="array" ref="D117">INDEX(HoleParM,D116,0)</f>
        <v>5</v>
      </c>
      <c r="E117" s="6" cm="1">
        <f t="array" ref="E117">INDEX(HoleParM,E116,0)</f>
        <v>4</v>
      </c>
      <c r="F117" s="6" cm="1">
        <f t="array" ref="F117">INDEX(HoleParM,F116,0)</f>
        <v>4</v>
      </c>
      <c r="G117" s="6" cm="1">
        <f t="array" ref="G117">INDEX(HoleParM,G116,0)</f>
        <v>4</v>
      </c>
      <c r="H117" s="6" cm="1">
        <f t="array" ref="H117">INDEX(HoleParM,H116,0)</f>
        <v>3</v>
      </c>
      <c r="I117" s="6" cm="1">
        <f t="array" ref="I117">INDEX(HoleParM,I116,0)</f>
        <v>5</v>
      </c>
      <c r="J117" s="6" cm="1">
        <f t="array" ref="J117">INDEX(HoleParM,J116,0)</f>
        <v>4</v>
      </c>
      <c r="K117" s="7">
        <f>IF(SUM(B117:J117)&gt;0,SUM(B117:J117),"")</f>
        <v>36</v>
      </c>
      <c r="L117" s="6" cm="1">
        <f t="array" ref="L117">INDEX(HoleParM,L116,0)</f>
        <v>5</v>
      </c>
      <c r="M117" s="6" cm="1">
        <f t="array" ref="M117">INDEX(HoleParM,M116,0)</f>
        <v>4</v>
      </c>
      <c r="N117" s="6" cm="1">
        <f t="array" ref="N117">INDEX(HoleParM,N116,0)</f>
        <v>5</v>
      </c>
      <c r="O117" s="6" cm="1">
        <f t="array" ref="O117">INDEX(HoleParM,O116,0)</f>
        <v>3</v>
      </c>
      <c r="P117" s="6" cm="1">
        <f t="array" ref="P117">INDEX(HoleParM,P116,0)</f>
        <v>4</v>
      </c>
      <c r="Q117" s="6" cm="1">
        <f t="array" ref="Q117">INDEX(HoleParM,Q116,0)</f>
        <v>4</v>
      </c>
      <c r="R117" s="6" cm="1">
        <f t="array" ref="R117">INDEX(HoleParM,R116,0)</f>
        <v>3</v>
      </c>
      <c r="S117" s="6" cm="1">
        <f t="array" ref="S117">INDEX(HoleParM,S116,0)</f>
        <v>4</v>
      </c>
      <c r="T117" s="6" cm="1">
        <f t="array" ref="T117">INDEX(HoleParM,T116,0)</f>
        <v>4</v>
      </c>
      <c r="U117" s="7">
        <f>IF(SUM(L117:T117)&gt;0,SUM(L117:T117),"")</f>
        <v>36</v>
      </c>
      <c r="V117" s="7">
        <f>IF((SUM(B117:J117)+SUM(L117:T117))&gt;0,SUM(B117:J117)+SUM(L117:T117),"")</f>
        <v>72</v>
      </c>
    </row>
    <row r="118" spans="1:22" x14ac:dyDescent="0.2">
      <c r="A118" s="2" t="s">
        <v>1</v>
      </c>
      <c r="B118" s="6" cm="1">
        <f t="array" ref="B118">INDEX(HoleHandicapM,B116,0)</f>
        <v>11</v>
      </c>
      <c r="C118" s="6" cm="1">
        <f t="array" ref="C118">INDEX(HoleHandicapM,C116,0)</f>
        <v>17</v>
      </c>
      <c r="D118" s="6" cm="1">
        <f t="array" ref="D118">INDEX(HoleHandicapM,D116,0)</f>
        <v>3</v>
      </c>
      <c r="E118" s="6" cm="1">
        <f t="array" ref="E118">INDEX(HoleHandicapM,E116,0)</f>
        <v>5</v>
      </c>
      <c r="F118" s="6" cm="1">
        <f t="array" ref="F118">INDEX(HoleHandicapM,F116,0)</f>
        <v>7</v>
      </c>
      <c r="G118" s="6" cm="1">
        <f t="array" ref="G118">INDEX(HoleHandicapM,G116,0)</f>
        <v>9</v>
      </c>
      <c r="H118" s="6" cm="1">
        <f t="array" ref="H118">INDEX(HoleHandicapM,H116,0)</f>
        <v>15</v>
      </c>
      <c r="I118" s="6" cm="1">
        <f t="array" ref="I118">INDEX(HoleHandicapM,I116,0)</f>
        <v>1</v>
      </c>
      <c r="J118" s="6" cm="1">
        <f t="array" ref="J118">INDEX(HoleHandicapM,J116,0)</f>
        <v>13</v>
      </c>
      <c r="K118" s="6" t="s">
        <v>63</v>
      </c>
      <c r="L118" s="6" cm="1">
        <f t="array" ref="L118">INDEX(HoleHandicapM,L116,0)</f>
        <v>4</v>
      </c>
      <c r="M118" s="6" cm="1">
        <f t="array" ref="M118">INDEX(HoleHandicapM,M116,0)</f>
        <v>18</v>
      </c>
      <c r="N118" s="6" cm="1">
        <f t="array" ref="N118">INDEX(HoleHandicapM,N116,0)</f>
        <v>10</v>
      </c>
      <c r="O118" s="6" cm="1">
        <f t="array" ref="O118">INDEX(HoleHandicapM,O116,0)</f>
        <v>12</v>
      </c>
      <c r="P118" s="6" cm="1">
        <f t="array" ref="P118">INDEX(HoleHandicapM,P116,0)</f>
        <v>2</v>
      </c>
      <c r="Q118" s="6" cm="1">
        <f t="array" ref="Q118">INDEX(HoleHandicapM,Q116,0)</f>
        <v>8</v>
      </c>
      <c r="R118" s="6" cm="1">
        <f t="array" ref="R118">INDEX(HoleHandicapM,R116,0)</f>
        <v>14</v>
      </c>
      <c r="S118" s="6" cm="1">
        <f t="array" ref="S118">INDEX(HoleHandicapM,S116,0)</f>
        <v>16</v>
      </c>
      <c r="T118" s="6" cm="1">
        <f t="array" ref="T118">INDEX(HoleHandicapM,T116,0)</f>
        <v>6</v>
      </c>
      <c r="U118" s="6" t="s">
        <v>64</v>
      </c>
      <c r="V118" s="2" t="s">
        <v>61</v>
      </c>
    </row>
    <row r="119" spans="1:22" x14ac:dyDescent="0.2">
      <c r="A119" s="2" t="str">
        <f>CONCATENATE(A114, " Gross")</f>
        <v>Jim Kellum Gross</v>
      </c>
      <c r="B119" s="7">
        <v>5</v>
      </c>
      <c r="C119" s="7">
        <v>4</v>
      </c>
      <c r="D119" s="7">
        <v>7</v>
      </c>
      <c r="E119" s="7">
        <v>6</v>
      </c>
      <c r="F119" s="7">
        <v>5</v>
      </c>
      <c r="G119" s="7">
        <v>4</v>
      </c>
      <c r="H119" s="7">
        <v>5</v>
      </c>
      <c r="I119" s="7">
        <v>6</v>
      </c>
      <c r="J119" s="7">
        <v>5</v>
      </c>
      <c r="K119" s="7">
        <f t="shared" ref="K119:K125" si="292">IF(OR(ISBLANK(B119),B119=""),"",SUM(B119:J119))</f>
        <v>47</v>
      </c>
      <c r="L119" s="7">
        <v>6</v>
      </c>
      <c r="M119" s="7">
        <v>4</v>
      </c>
      <c r="N119" s="7">
        <v>7</v>
      </c>
      <c r="O119" s="7">
        <v>4</v>
      </c>
      <c r="P119" s="7">
        <v>6</v>
      </c>
      <c r="Q119" s="7">
        <v>4</v>
      </c>
      <c r="R119" s="7">
        <v>5</v>
      </c>
      <c r="S119" s="7">
        <v>5</v>
      </c>
      <c r="T119" s="7">
        <v>4</v>
      </c>
      <c r="U119" s="7">
        <f t="shared" ref="U119:U125" si="293">IF(OR(ISBLANK(L119),L119=""),"",SUM(L119:T119))</f>
        <v>45</v>
      </c>
      <c r="V119" s="7">
        <f t="shared" ref="V119:V125" si="294">IF(OR(ISBLANK(B119),B119=""),"",SUM(B119:J119)+SUM(L119:T119))</f>
        <v>92</v>
      </c>
    </row>
    <row r="120" spans="1:22" x14ac:dyDescent="0.2">
      <c r="A120" s="2" t="str">
        <f>CONCATENATE(A114, " Handicap Strokes")</f>
        <v>Jim Kellum Handicap Strokes</v>
      </c>
      <c r="B120" s="7">
        <f t="shared" ref="B120:J120" si="295">ROUNDDOWN($E114/18,0)+IF(MOD($E114,18)&gt;=B118,1,0)</f>
        <v>1</v>
      </c>
      <c r="C120" s="7">
        <f t="shared" si="295"/>
        <v>0</v>
      </c>
      <c r="D120" s="7">
        <f t="shared" si="295"/>
        <v>1</v>
      </c>
      <c r="E120" s="7">
        <f t="shared" si="295"/>
        <v>1</v>
      </c>
      <c r="F120" s="7">
        <f t="shared" si="295"/>
        <v>1</v>
      </c>
      <c r="G120" s="7">
        <f t="shared" si="295"/>
        <v>1</v>
      </c>
      <c r="H120" s="7">
        <f t="shared" si="295"/>
        <v>0</v>
      </c>
      <c r="I120" s="7">
        <f t="shared" si="295"/>
        <v>1</v>
      </c>
      <c r="J120" s="7">
        <f t="shared" si="295"/>
        <v>0</v>
      </c>
      <c r="K120" s="7">
        <f t="shared" si="292"/>
        <v>6</v>
      </c>
      <c r="L120" s="7">
        <f t="shared" ref="L120:T120" si="296">ROUNDDOWN($E114/18,0)+IF(MOD($E114,18)&gt;=L118,1,0)</f>
        <v>1</v>
      </c>
      <c r="M120" s="7">
        <f t="shared" si="296"/>
        <v>0</v>
      </c>
      <c r="N120" s="7">
        <f t="shared" si="296"/>
        <v>1</v>
      </c>
      <c r="O120" s="7">
        <f t="shared" si="296"/>
        <v>0</v>
      </c>
      <c r="P120" s="7">
        <f t="shared" si="296"/>
        <v>1</v>
      </c>
      <c r="Q120" s="7">
        <f t="shared" si="296"/>
        <v>1</v>
      </c>
      <c r="R120" s="7">
        <f t="shared" si="296"/>
        <v>0</v>
      </c>
      <c r="S120" s="7">
        <f t="shared" si="296"/>
        <v>0</v>
      </c>
      <c r="T120" s="7">
        <f t="shared" si="296"/>
        <v>1</v>
      </c>
      <c r="U120" s="7">
        <f t="shared" si="293"/>
        <v>5</v>
      </c>
      <c r="V120" s="7">
        <f t="shared" si="294"/>
        <v>11</v>
      </c>
    </row>
    <row r="121" spans="1:22" x14ac:dyDescent="0.2">
      <c r="A121" s="2" t="str">
        <f>CONCATENATE(A114, " Net (Gross - HCP)")</f>
        <v>Jim Kellum Net (Gross - HCP)</v>
      </c>
      <c r="B121" s="7">
        <f t="shared" ref="B121:J121" si="297">IF(B119-B120&gt;0,B119-B120,"")</f>
        <v>4</v>
      </c>
      <c r="C121" s="7">
        <f t="shared" si="297"/>
        <v>4</v>
      </c>
      <c r="D121" s="7">
        <f t="shared" si="297"/>
        <v>6</v>
      </c>
      <c r="E121" s="7">
        <f t="shared" si="297"/>
        <v>5</v>
      </c>
      <c r="F121" s="7">
        <f t="shared" si="297"/>
        <v>4</v>
      </c>
      <c r="G121" s="7">
        <f t="shared" si="297"/>
        <v>3</v>
      </c>
      <c r="H121" s="7">
        <f t="shared" si="297"/>
        <v>5</v>
      </c>
      <c r="I121" s="7">
        <f t="shared" si="297"/>
        <v>5</v>
      </c>
      <c r="J121" s="7">
        <f t="shared" si="297"/>
        <v>5</v>
      </c>
      <c r="K121" s="7">
        <f t="shared" si="292"/>
        <v>41</v>
      </c>
      <c r="L121" s="7">
        <f t="shared" ref="L121:T121" si="298">IF(L119-L120&gt;0,L119-L120,"")</f>
        <v>5</v>
      </c>
      <c r="M121" s="7">
        <f t="shared" si="298"/>
        <v>4</v>
      </c>
      <c r="N121" s="7">
        <f t="shared" si="298"/>
        <v>6</v>
      </c>
      <c r="O121" s="7">
        <f t="shared" si="298"/>
        <v>4</v>
      </c>
      <c r="P121" s="7">
        <f t="shared" si="298"/>
        <v>5</v>
      </c>
      <c r="Q121" s="7">
        <f t="shared" si="298"/>
        <v>3</v>
      </c>
      <c r="R121" s="7">
        <f t="shared" si="298"/>
        <v>5</v>
      </c>
      <c r="S121" s="7">
        <f t="shared" si="298"/>
        <v>5</v>
      </c>
      <c r="T121" s="7">
        <f t="shared" si="298"/>
        <v>3</v>
      </c>
      <c r="U121" s="7">
        <f t="shared" si="293"/>
        <v>40</v>
      </c>
      <c r="V121" s="7">
        <f t="shared" si="294"/>
        <v>81</v>
      </c>
    </row>
    <row r="122" spans="1:22" x14ac:dyDescent="0.2">
      <c r="A122" s="2" t="str">
        <f>IF(A115 &lt;&gt; "Solo",CONCATENATE(A115, " Gross"),"")</f>
        <v>Curt Balcerzak Gross</v>
      </c>
      <c r="B122" s="7">
        <v>7</v>
      </c>
      <c r="C122" s="7">
        <v>3</v>
      </c>
      <c r="D122" s="7">
        <v>5</v>
      </c>
      <c r="E122" s="7">
        <v>6</v>
      </c>
      <c r="F122" s="7">
        <v>6</v>
      </c>
      <c r="G122" s="7">
        <v>6</v>
      </c>
      <c r="H122" s="7">
        <v>5</v>
      </c>
      <c r="I122" s="7">
        <v>6</v>
      </c>
      <c r="J122" s="7">
        <v>5</v>
      </c>
      <c r="K122" s="7">
        <f t="shared" si="292"/>
        <v>49</v>
      </c>
      <c r="L122" s="7">
        <v>6</v>
      </c>
      <c r="M122" s="7">
        <v>4</v>
      </c>
      <c r="N122" s="7">
        <v>4</v>
      </c>
      <c r="O122" s="7">
        <v>3</v>
      </c>
      <c r="P122" s="7">
        <v>4</v>
      </c>
      <c r="Q122" s="7">
        <v>5</v>
      </c>
      <c r="R122" s="7">
        <v>5</v>
      </c>
      <c r="S122" s="7">
        <v>6</v>
      </c>
      <c r="T122" s="7">
        <v>5</v>
      </c>
      <c r="U122" s="7">
        <f t="shared" si="293"/>
        <v>42</v>
      </c>
      <c r="V122" s="7">
        <f t="shared" si="294"/>
        <v>91</v>
      </c>
    </row>
    <row r="123" spans="1:22" x14ac:dyDescent="0.2">
      <c r="A123" s="2" t="str">
        <f>IF(A115 &lt;&gt; "Solo",CONCATENATE(A115, " Handicap Strokes"),"")</f>
        <v>Curt Balcerzak Handicap Strokes</v>
      </c>
      <c r="B123" s="7">
        <f>IF($A115 &lt;&gt; "Solo",ROUNDDOWN($E115/18,0)+IF(MOD($E115,18)&gt;=B118,1,0),"")</f>
        <v>0</v>
      </c>
      <c r="C123" s="7">
        <f t="shared" ref="C123:J123" si="299">IF($A115 &lt;&gt; "Solo",ROUNDDOWN($E115/18,0)+IF(MOD($E115,18)&gt;=C118,1,0),"")</f>
        <v>0</v>
      </c>
      <c r="D123" s="7">
        <f t="shared" si="299"/>
        <v>1</v>
      </c>
      <c r="E123" s="7">
        <f t="shared" si="299"/>
        <v>1</v>
      </c>
      <c r="F123" s="7">
        <f t="shared" si="299"/>
        <v>1</v>
      </c>
      <c r="G123" s="7">
        <f t="shared" si="299"/>
        <v>1</v>
      </c>
      <c r="H123" s="7">
        <f t="shared" si="299"/>
        <v>0</v>
      </c>
      <c r="I123" s="7">
        <f t="shared" si="299"/>
        <v>1</v>
      </c>
      <c r="J123" s="7">
        <f t="shared" si="299"/>
        <v>0</v>
      </c>
      <c r="K123" s="7">
        <f t="shared" si="292"/>
        <v>5</v>
      </c>
      <c r="L123" s="7">
        <f t="shared" ref="L123:T123" si="300">IF($A115 &lt;&gt; "Solo",ROUNDDOWN($E115/18,0)+IF(MOD($E115,18)&gt;=L118,1,0),"")</f>
        <v>1</v>
      </c>
      <c r="M123" s="7">
        <f t="shared" si="300"/>
        <v>0</v>
      </c>
      <c r="N123" s="7">
        <f t="shared" si="300"/>
        <v>1</v>
      </c>
      <c r="O123" s="7">
        <f t="shared" si="300"/>
        <v>0</v>
      </c>
      <c r="P123" s="7">
        <f t="shared" si="300"/>
        <v>1</v>
      </c>
      <c r="Q123" s="7">
        <f t="shared" si="300"/>
        <v>1</v>
      </c>
      <c r="R123" s="7">
        <f t="shared" si="300"/>
        <v>0</v>
      </c>
      <c r="S123" s="7">
        <f t="shared" si="300"/>
        <v>0</v>
      </c>
      <c r="T123" s="7">
        <f t="shared" si="300"/>
        <v>1</v>
      </c>
      <c r="U123" s="7">
        <f t="shared" si="293"/>
        <v>5</v>
      </c>
      <c r="V123" s="7">
        <f t="shared" si="294"/>
        <v>10</v>
      </c>
    </row>
    <row r="124" spans="1:22" x14ac:dyDescent="0.2">
      <c r="A124" s="2" t="str">
        <f>IF(A115 &lt;&gt; "Solo",CONCATENATE(A115, " Net (Gross - HCP)"),"")</f>
        <v>Curt Balcerzak Net (Gross - HCP)</v>
      </c>
      <c r="B124" s="7">
        <f t="shared" ref="B124" si="301">IF($A115 &lt;&gt; "Solo",IF(B122-B123&gt;0,B122-B123,""),"")</f>
        <v>7</v>
      </c>
      <c r="C124" s="7">
        <f t="shared" ref="C124" si="302">IF($A115 &lt;&gt; "Solo",IF(C122-C123&gt;0,C122-C123,""),"")</f>
        <v>3</v>
      </c>
      <c r="D124" s="7">
        <f t="shared" ref="D124" si="303">IF($A115 &lt;&gt; "Solo",IF(D122-D123&gt;0,D122-D123,""),"")</f>
        <v>4</v>
      </c>
      <c r="E124" s="7">
        <f t="shared" ref="E124" si="304">IF($A115 &lt;&gt; "Solo",IF(E122-E123&gt;0,E122-E123,""),"")</f>
        <v>5</v>
      </c>
      <c r="F124" s="7">
        <f t="shared" ref="F124" si="305">IF($A115 &lt;&gt; "Solo",IF(F122-F123&gt;0,F122-F123,""),"")</f>
        <v>5</v>
      </c>
      <c r="G124" s="7">
        <f t="shared" ref="G124" si="306">IF($A115 &lt;&gt; "Solo",IF(G122-G123&gt;0,G122-G123,""),"")</f>
        <v>5</v>
      </c>
      <c r="H124" s="7">
        <f t="shared" ref="H124" si="307">IF($A115 &lt;&gt; "Solo",IF(H122-H123&gt;0,H122-H123,""),"")</f>
        <v>5</v>
      </c>
      <c r="I124" s="7">
        <f t="shared" ref="I124" si="308">IF($A115 &lt;&gt; "Solo",IF(I122-I123&gt;0,I122-I123,""),"")</f>
        <v>5</v>
      </c>
      <c r="J124" s="7">
        <f t="shared" ref="J124" si="309">IF($A115 &lt;&gt; "Solo",IF(J122-J123&gt;0,J122-J123,""),"")</f>
        <v>5</v>
      </c>
      <c r="K124" s="7">
        <f t="shared" si="292"/>
        <v>44</v>
      </c>
      <c r="L124" s="7">
        <f t="shared" ref="L124" si="310">IF($A115 &lt;&gt; "Solo",IF(L122-L123&gt;0,L122-L123,""),"")</f>
        <v>5</v>
      </c>
      <c r="M124" s="7">
        <f t="shared" ref="M124" si="311">IF($A115 &lt;&gt; "Solo",IF(M122-M123&gt;0,M122-M123,""),"")</f>
        <v>4</v>
      </c>
      <c r="N124" s="7">
        <f t="shared" ref="N124" si="312">IF($A115 &lt;&gt; "Solo",IF(N122-N123&gt;0,N122-N123,""),"")</f>
        <v>3</v>
      </c>
      <c r="O124" s="7">
        <f t="shared" ref="O124" si="313">IF($A115 &lt;&gt; "Solo",IF(O122-O123&gt;0,O122-O123,""),"")</f>
        <v>3</v>
      </c>
      <c r="P124" s="7">
        <f t="shared" ref="P124" si="314">IF($A115 &lt;&gt; "Solo",IF(P122-P123&gt;0,P122-P123,""),"")</f>
        <v>3</v>
      </c>
      <c r="Q124" s="7">
        <f t="shared" ref="Q124" si="315">IF($A115 &lt;&gt; "Solo",IF(Q122-Q123&gt;0,Q122-Q123,""),"")</f>
        <v>4</v>
      </c>
      <c r="R124" s="7">
        <f t="shared" ref="R124" si="316">IF($A115 &lt;&gt; "Solo",IF(R122-R123&gt;0,R122-R123,""),"")</f>
        <v>5</v>
      </c>
      <c r="S124" s="7">
        <f t="shared" ref="S124" si="317">IF($A115 &lt;&gt; "Solo",IF(S122-S123&gt;0,S122-S123,""),"")</f>
        <v>6</v>
      </c>
      <c r="T124" s="7">
        <f t="shared" ref="T124" si="318">IF($A115 &lt;&gt; "Solo",IF(T122-T123&gt;0,T122-T123,""),"")</f>
        <v>4</v>
      </c>
      <c r="U124" s="7">
        <f t="shared" si="293"/>
        <v>37</v>
      </c>
      <c r="V124" s="7">
        <f t="shared" si="294"/>
        <v>81</v>
      </c>
    </row>
    <row r="125" spans="1:22" x14ac:dyDescent="0.2">
      <c r="A125" s="2" t="str">
        <f>CONCATENATE(A113, " Best Ball")</f>
        <v>Team 8 Best Ball</v>
      </c>
      <c r="B125" s="7">
        <f>IF(AND(ISBLANK(B119), ISBLANK(B122)),"",MIN(B121,B124))</f>
        <v>4</v>
      </c>
      <c r="C125" s="7">
        <f t="shared" ref="C125" si="319">IF(AND(ISBLANK(C119), ISBLANK(C122)),"",MIN(C121,C124))</f>
        <v>3</v>
      </c>
      <c r="D125" s="7">
        <f t="shared" ref="D125" si="320">IF(AND(ISBLANK(D119), ISBLANK(D122)),"",MIN(D121,D124))</f>
        <v>4</v>
      </c>
      <c r="E125" s="7">
        <f t="shared" ref="E125" si="321">IF(AND(ISBLANK(E119), ISBLANK(E122)),"",MIN(E121,E124))</f>
        <v>5</v>
      </c>
      <c r="F125" s="7">
        <f t="shared" ref="F125" si="322">IF(AND(ISBLANK(F119), ISBLANK(F122)),"",MIN(F121,F124))</f>
        <v>4</v>
      </c>
      <c r="G125" s="7">
        <f t="shared" ref="G125" si="323">IF(AND(ISBLANK(G119), ISBLANK(G122)),"",MIN(G121,G124))</f>
        <v>3</v>
      </c>
      <c r="H125" s="7">
        <f t="shared" ref="H125" si="324">IF(AND(ISBLANK(H119), ISBLANK(H122)),"",MIN(H121,H124))</f>
        <v>5</v>
      </c>
      <c r="I125" s="7">
        <f t="shared" ref="I125" si="325">IF(AND(ISBLANK(I119), ISBLANK(I122)),"",MIN(I121,I124))</f>
        <v>5</v>
      </c>
      <c r="J125" s="7">
        <f t="shared" ref="J125" si="326">IF(AND(ISBLANK(J119), ISBLANK(J122)),"",MIN(J121,J124))</f>
        <v>5</v>
      </c>
      <c r="K125" s="7">
        <f t="shared" si="292"/>
        <v>38</v>
      </c>
      <c r="L125" s="7">
        <f t="shared" ref="L125" si="327">IF(AND(ISBLANK(L119), ISBLANK(L122)),"",MIN(L121,L124))</f>
        <v>5</v>
      </c>
      <c r="M125" s="7">
        <f t="shared" ref="M125" si="328">IF(AND(ISBLANK(M119), ISBLANK(M122)),"",MIN(M121,M124))</f>
        <v>4</v>
      </c>
      <c r="N125" s="7">
        <f t="shared" ref="N125" si="329">IF(AND(ISBLANK(N119), ISBLANK(N122)),"",MIN(N121,N124))</f>
        <v>3</v>
      </c>
      <c r="O125" s="7">
        <f t="shared" ref="O125" si="330">IF(AND(ISBLANK(O119), ISBLANK(O122)),"",MIN(O121,O124))</f>
        <v>3</v>
      </c>
      <c r="P125" s="7">
        <f t="shared" ref="P125" si="331">IF(AND(ISBLANK(P119), ISBLANK(P122)),"",MIN(P121,P124))</f>
        <v>3</v>
      </c>
      <c r="Q125" s="7">
        <f t="shared" ref="Q125" si="332">IF(AND(ISBLANK(Q119), ISBLANK(Q122)),"",MIN(Q121,Q124))</f>
        <v>3</v>
      </c>
      <c r="R125" s="7">
        <f t="shared" ref="R125" si="333">IF(AND(ISBLANK(R119), ISBLANK(R122)),"",MIN(R121,R124))</f>
        <v>5</v>
      </c>
      <c r="S125" s="7">
        <f t="shared" ref="S125" si="334">IF(AND(ISBLANK(S119), ISBLANK(S122)),"",MIN(S121,S124))</f>
        <v>5</v>
      </c>
      <c r="T125" s="7">
        <f t="shared" ref="T125" si="335">IF(AND(ISBLANK(T119), ISBLANK(T122)),"",MIN(T121,T124))</f>
        <v>3</v>
      </c>
      <c r="U125" s="7">
        <f t="shared" si="293"/>
        <v>34</v>
      </c>
      <c r="V125" s="7">
        <f t="shared" si="294"/>
        <v>72</v>
      </c>
    </row>
    <row r="126" spans="1:22" x14ac:dyDescent="0.2">
      <c r="A126" s="2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</row>
    <row r="127" spans="1:22" x14ac:dyDescent="0.2">
      <c r="A127" s="2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</row>
  </sheetData>
  <printOptions gridLines="1"/>
  <pageMargins left="0.2" right="0.2" top="0.2" bottom="0.2" header="0" footer="0"/>
  <pageSetup scale="88" fitToHeight="0" orientation="landscape" r:id="rId1"/>
  <rowBreaks count="3" manualBreakCount="3">
    <brk id="32" max="21" man="1"/>
    <brk id="63" max="21" man="1"/>
    <brk id="94" max="21" man="1"/>
  </rowBreaks>
  <ignoredErrors>
    <ignoredError sqref="K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A663B-535C-4AFC-8173-500F8E61D7C9}">
  <dimension ref="A1:J18"/>
  <sheetViews>
    <sheetView topLeftCell="C1" workbookViewId="0">
      <selection activeCell="G16" sqref="G16"/>
    </sheetView>
  </sheetViews>
  <sheetFormatPr defaultRowHeight="15" x14ac:dyDescent="0.2"/>
  <cols>
    <col min="1" max="1" width="16.0078125" customWidth="1"/>
    <col min="7" max="7" width="13.71875" bestFit="1" customWidth="1"/>
    <col min="8" max="8" width="10.625" bestFit="1" customWidth="1"/>
    <col min="10" max="10" width="10.625" bestFit="1" customWidth="1"/>
  </cols>
  <sheetData>
    <row r="1" spans="1:9" x14ac:dyDescent="0.2">
      <c r="B1" t="s">
        <v>14</v>
      </c>
      <c r="C1" t="s">
        <v>15</v>
      </c>
      <c r="D1" t="s">
        <v>16</v>
      </c>
      <c r="E1" t="s">
        <v>25</v>
      </c>
      <c r="F1" t="s">
        <v>62</v>
      </c>
      <c r="G1" t="s">
        <v>35</v>
      </c>
      <c r="H1" t="s">
        <v>45</v>
      </c>
      <c r="I1" t="s">
        <v>46</v>
      </c>
    </row>
    <row r="2" spans="1:9" x14ac:dyDescent="0.2">
      <c r="A2" t="s">
        <v>8</v>
      </c>
      <c r="B2">
        <v>41.8</v>
      </c>
      <c r="C2">
        <v>1</v>
      </c>
      <c r="D2">
        <v>1</v>
      </c>
      <c r="E2" t="s">
        <v>26</v>
      </c>
      <c r="F2" t="s">
        <v>54</v>
      </c>
      <c r="G2" s="8">
        <v>20</v>
      </c>
      <c r="H2" t="s">
        <v>47</v>
      </c>
    </row>
    <row r="3" spans="1:9" x14ac:dyDescent="0.2">
      <c r="A3" t="s">
        <v>36</v>
      </c>
      <c r="B3">
        <v>25</v>
      </c>
      <c r="C3">
        <v>1</v>
      </c>
      <c r="D3">
        <v>2</v>
      </c>
      <c r="E3" t="s">
        <v>26</v>
      </c>
      <c r="F3" t="s">
        <v>53</v>
      </c>
      <c r="G3" s="8">
        <v>20</v>
      </c>
      <c r="H3" t="s">
        <v>47</v>
      </c>
    </row>
    <row r="4" spans="1:9" x14ac:dyDescent="0.2">
      <c r="A4" t="s">
        <v>11</v>
      </c>
      <c r="B4">
        <v>27.9</v>
      </c>
      <c r="C4">
        <v>2</v>
      </c>
      <c r="D4">
        <v>1</v>
      </c>
      <c r="E4" t="s">
        <v>26</v>
      </c>
      <c r="F4" t="s">
        <v>53</v>
      </c>
      <c r="G4" s="8">
        <v>20</v>
      </c>
    </row>
    <row r="5" spans="1:9" x14ac:dyDescent="0.2">
      <c r="A5" t="s">
        <v>37</v>
      </c>
      <c r="B5">
        <v>4.5999999999999996</v>
      </c>
      <c r="C5">
        <v>2</v>
      </c>
      <c r="D5">
        <v>2</v>
      </c>
      <c r="E5" t="s">
        <v>26</v>
      </c>
      <c r="F5" t="s">
        <v>52</v>
      </c>
      <c r="G5" s="8">
        <v>20</v>
      </c>
    </row>
    <row r="6" spans="1:9" x14ac:dyDescent="0.2">
      <c r="A6" t="s">
        <v>13</v>
      </c>
      <c r="B6">
        <v>7</v>
      </c>
      <c r="C6">
        <v>3</v>
      </c>
      <c r="D6">
        <v>1</v>
      </c>
      <c r="E6" t="s">
        <v>26</v>
      </c>
      <c r="F6" t="s">
        <v>52</v>
      </c>
      <c r="G6" s="8">
        <v>20</v>
      </c>
      <c r="H6" t="s">
        <v>47</v>
      </c>
      <c r="I6" t="s">
        <v>47</v>
      </c>
    </row>
    <row r="7" spans="1:9" x14ac:dyDescent="0.2">
      <c r="A7" t="s">
        <v>38</v>
      </c>
      <c r="B7">
        <v>10</v>
      </c>
      <c r="C7">
        <v>3</v>
      </c>
      <c r="D7">
        <v>2</v>
      </c>
      <c r="E7" t="s">
        <v>26</v>
      </c>
      <c r="F7" t="s">
        <v>52</v>
      </c>
      <c r="G7" s="8">
        <v>20</v>
      </c>
      <c r="H7" t="s">
        <v>47</v>
      </c>
      <c r="I7" t="s">
        <v>47</v>
      </c>
    </row>
    <row r="8" spans="1:9" x14ac:dyDescent="0.2">
      <c r="A8" t="s">
        <v>39</v>
      </c>
      <c r="B8">
        <v>7</v>
      </c>
      <c r="C8">
        <v>4</v>
      </c>
      <c r="D8">
        <v>1</v>
      </c>
      <c r="E8" t="s">
        <v>26</v>
      </c>
      <c r="F8" t="s">
        <v>52</v>
      </c>
      <c r="G8" s="8">
        <v>20</v>
      </c>
      <c r="H8" t="s">
        <v>47</v>
      </c>
      <c r="I8" t="s">
        <v>47</v>
      </c>
    </row>
    <row r="9" spans="1:9" x14ac:dyDescent="0.2">
      <c r="A9" t="s">
        <v>40</v>
      </c>
      <c r="B9">
        <v>0</v>
      </c>
      <c r="C9">
        <v>4</v>
      </c>
      <c r="D9">
        <v>2</v>
      </c>
      <c r="E9" t="s">
        <v>26</v>
      </c>
      <c r="F9" t="s">
        <v>52</v>
      </c>
      <c r="G9" s="8">
        <v>20</v>
      </c>
      <c r="H9" t="s">
        <v>47</v>
      </c>
      <c r="I9" t="s">
        <v>47</v>
      </c>
    </row>
    <row r="10" spans="1:9" x14ac:dyDescent="0.2">
      <c r="A10" t="s">
        <v>12</v>
      </c>
      <c r="B10">
        <v>12.6</v>
      </c>
      <c r="C10">
        <v>5</v>
      </c>
      <c r="D10">
        <v>1</v>
      </c>
      <c r="E10" t="s">
        <v>26</v>
      </c>
      <c r="F10" t="s">
        <v>52</v>
      </c>
      <c r="G10" s="8">
        <v>20</v>
      </c>
      <c r="H10" t="s">
        <v>47</v>
      </c>
      <c r="I10" t="s">
        <v>47</v>
      </c>
    </row>
    <row r="11" spans="1:9" x14ac:dyDescent="0.2">
      <c r="A11" t="s">
        <v>9</v>
      </c>
      <c r="B11">
        <v>36</v>
      </c>
      <c r="C11">
        <v>5</v>
      </c>
      <c r="D11">
        <v>2</v>
      </c>
      <c r="E11" t="s">
        <v>26</v>
      </c>
      <c r="F11" t="s">
        <v>54</v>
      </c>
      <c r="G11" s="8">
        <v>20</v>
      </c>
      <c r="H11" t="s">
        <v>47</v>
      </c>
      <c r="I11" t="s">
        <v>47</v>
      </c>
    </row>
    <row r="12" spans="1:9" x14ac:dyDescent="0.2">
      <c r="A12" t="s">
        <v>41</v>
      </c>
      <c r="B12">
        <v>10</v>
      </c>
      <c r="C12">
        <v>6</v>
      </c>
      <c r="D12">
        <v>1</v>
      </c>
      <c r="E12" t="s">
        <v>26</v>
      </c>
      <c r="F12" t="s">
        <v>52</v>
      </c>
      <c r="G12" s="8">
        <v>20</v>
      </c>
      <c r="H12" t="s">
        <v>47</v>
      </c>
      <c r="I12" t="s">
        <v>47</v>
      </c>
    </row>
    <row r="13" spans="1:9" x14ac:dyDescent="0.2">
      <c r="A13" t="s">
        <v>74</v>
      </c>
      <c r="B13">
        <v>10</v>
      </c>
      <c r="C13">
        <v>6</v>
      </c>
      <c r="D13">
        <v>2</v>
      </c>
      <c r="E13" t="s">
        <v>26</v>
      </c>
      <c r="F13" t="s">
        <v>52</v>
      </c>
      <c r="G13" s="8">
        <v>20</v>
      </c>
    </row>
    <row r="14" spans="1:9" x14ac:dyDescent="0.2">
      <c r="A14" t="s">
        <v>42</v>
      </c>
      <c r="B14">
        <v>13.6</v>
      </c>
      <c r="C14">
        <v>7</v>
      </c>
      <c r="D14">
        <v>1</v>
      </c>
      <c r="E14" t="s">
        <v>26</v>
      </c>
      <c r="F14" t="s">
        <v>53</v>
      </c>
      <c r="G14" s="8">
        <v>20</v>
      </c>
      <c r="H14" t="s">
        <v>47</v>
      </c>
      <c r="I14" t="s">
        <v>47</v>
      </c>
    </row>
    <row r="15" spans="1:9" x14ac:dyDescent="0.2">
      <c r="A15" t="s">
        <v>43</v>
      </c>
      <c r="B15">
        <v>24</v>
      </c>
      <c r="C15">
        <v>7</v>
      </c>
      <c r="D15">
        <v>2</v>
      </c>
      <c r="E15" t="s">
        <v>26</v>
      </c>
      <c r="F15" t="s">
        <v>53</v>
      </c>
      <c r="G15" s="8">
        <v>20</v>
      </c>
      <c r="H15" t="s">
        <v>47</v>
      </c>
      <c r="I15" t="s">
        <v>47</v>
      </c>
    </row>
    <row r="16" spans="1:9" x14ac:dyDescent="0.2">
      <c r="A16" t="s">
        <v>44</v>
      </c>
      <c r="B16">
        <v>13.2</v>
      </c>
      <c r="C16">
        <v>8</v>
      </c>
      <c r="D16">
        <v>1</v>
      </c>
      <c r="E16" t="s">
        <v>26</v>
      </c>
      <c r="F16" t="s">
        <v>53</v>
      </c>
      <c r="G16" s="8">
        <v>20</v>
      </c>
    </row>
    <row r="17" spans="1:10" x14ac:dyDescent="0.2">
      <c r="A17" t="s">
        <v>10</v>
      </c>
      <c r="B17">
        <v>12.6</v>
      </c>
      <c r="C17">
        <v>8</v>
      </c>
      <c r="D17">
        <v>2</v>
      </c>
      <c r="E17" t="s">
        <v>26</v>
      </c>
      <c r="F17" t="s">
        <v>53</v>
      </c>
      <c r="G17" s="8">
        <v>20</v>
      </c>
      <c r="H17" t="s">
        <v>47</v>
      </c>
      <c r="I17" t="s">
        <v>47</v>
      </c>
      <c r="J17" t="s">
        <v>67</v>
      </c>
    </row>
    <row r="18" spans="1:10" x14ac:dyDescent="0.2">
      <c r="H18" s="11">
        <f>COUNTA(H2:H17)*108</f>
        <v>1296</v>
      </c>
      <c r="I18" s="11">
        <f>COUNTA(I2:I17)*23</f>
        <v>230</v>
      </c>
      <c r="J18" s="12">
        <f>SUM(H18:I18)</f>
        <v>1526</v>
      </c>
    </row>
  </sheetData>
  <sortState xmlns:xlrd2="http://schemas.microsoft.com/office/spreadsheetml/2017/richdata2" ref="A2:D14">
    <sortCondition ref="C2:C14"/>
    <sortCondition ref="D2:D14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6AB4A-C363-4148-AA80-F3F659AFB420}">
  <dimension ref="A1:L50"/>
  <sheetViews>
    <sheetView workbookViewId="0">
      <selection activeCell="B41" sqref="B41:B50"/>
    </sheetView>
  </sheetViews>
  <sheetFormatPr defaultRowHeight="15" x14ac:dyDescent="0.2"/>
  <cols>
    <col min="1" max="1" width="26.09765625" bestFit="1" customWidth="1"/>
    <col min="9" max="9" width="11.97265625" bestFit="1" customWidth="1"/>
  </cols>
  <sheetData>
    <row r="1" spans="1:12" x14ac:dyDescent="0.2">
      <c r="A1" t="s">
        <v>17</v>
      </c>
      <c r="B1" t="s">
        <v>51</v>
      </c>
      <c r="I1" t="s">
        <v>56</v>
      </c>
      <c r="J1" t="s">
        <v>56</v>
      </c>
      <c r="K1" t="s">
        <v>57</v>
      </c>
      <c r="L1" t="s">
        <v>57</v>
      </c>
    </row>
    <row r="2" spans="1:12" x14ac:dyDescent="0.2">
      <c r="A2" t="s">
        <v>18</v>
      </c>
      <c r="B2" t="s">
        <v>52</v>
      </c>
      <c r="C2" t="s">
        <v>53</v>
      </c>
      <c r="D2" t="s">
        <v>54</v>
      </c>
      <c r="E2" t="s">
        <v>55</v>
      </c>
      <c r="H2" t="s">
        <v>58</v>
      </c>
      <c r="I2" t="s">
        <v>59</v>
      </c>
      <c r="J2" t="s">
        <v>60</v>
      </c>
      <c r="K2" t="s">
        <v>59</v>
      </c>
      <c r="L2" t="s">
        <v>60</v>
      </c>
    </row>
    <row r="3" spans="1:12" x14ac:dyDescent="0.2">
      <c r="A3" t="s">
        <v>19</v>
      </c>
      <c r="B3">
        <v>137</v>
      </c>
      <c r="C3">
        <v>130</v>
      </c>
      <c r="D3">
        <v>121</v>
      </c>
      <c r="E3">
        <v>104</v>
      </c>
      <c r="H3">
        <v>1</v>
      </c>
      <c r="I3">
        <v>11</v>
      </c>
      <c r="J3">
        <v>4</v>
      </c>
      <c r="K3">
        <v>11</v>
      </c>
      <c r="L3">
        <v>4</v>
      </c>
    </row>
    <row r="4" spans="1:12" x14ac:dyDescent="0.2">
      <c r="A4" t="s">
        <v>20</v>
      </c>
      <c r="B4">
        <v>70.900000000000006</v>
      </c>
      <c r="C4">
        <v>68.599999999999994</v>
      </c>
      <c r="D4">
        <v>66.099999999999994</v>
      </c>
      <c r="E4">
        <v>62.6</v>
      </c>
      <c r="H4">
        <v>2</v>
      </c>
      <c r="I4">
        <v>17</v>
      </c>
      <c r="J4">
        <v>3</v>
      </c>
      <c r="K4">
        <v>17</v>
      </c>
      <c r="L4">
        <v>4</v>
      </c>
    </row>
    <row r="5" spans="1:12" x14ac:dyDescent="0.2">
      <c r="A5" t="s">
        <v>22</v>
      </c>
      <c r="B5">
        <v>72</v>
      </c>
      <c r="C5">
        <v>72</v>
      </c>
      <c r="D5">
        <v>72</v>
      </c>
      <c r="E5">
        <v>72</v>
      </c>
      <c r="H5">
        <v>3</v>
      </c>
      <c r="I5">
        <v>3</v>
      </c>
      <c r="J5">
        <v>5</v>
      </c>
      <c r="K5">
        <v>9</v>
      </c>
      <c r="L5">
        <v>3</v>
      </c>
    </row>
    <row r="6" spans="1:12" x14ac:dyDescent="0.2">
      <c r="A6" t="s">
        <v>29</v>
      </c>
      <c r="B6" t="s">
        <v>30</v>
      </c>
      <c r="H6">
        <v>4</v>
      </c>
      <c r="I6">
        <v>5</v>
      </c>
      <c r="J6">
        <v>4</v>
      </c>
      <c r="K6">
        <v>13</v>
      </c>
      <c r="L6">
        <v>5</v>
      </c>
    </row>
    <row r="7" spans="1:12" x14ac:dyDescent="0.2">
      <c r="A7" t="s">
        <v>21</v>
      </c>
      <c r="B7">
        <v>124</v>
      </c>
      <c r="H7">
        <v>5</v>
      </c>
      <c r="I7">
        <v>7</v>
      </c>
      <c r="J7">
        <v>4</v>
      </c>
      <c r="K7">
        <v>3</v>
      </c>
      <c r="L7">
        <v>4</v>
      </c>
    </row>
    <row r="8" spans="1:12" x14ac:dyDescent="0.2">
      <c r="A8" t="s">
        <v>23</v>
      </c>
      <c r="B8">
        <v>70.2</v>
      </c>
      <c r="H8">
        <v>6</v>
      </c>
      <c r="I8">
        <v>9</v>
      </c>
      <c r="J8">
        <v>4</v>
      </c>
      <c r="K8">
        <v>1</v>
      </c>
      <c r="L8">
        <v>4</v>
      </c>
    </row>
    <row r="9" spans="1:12" x14ac:dyDescent="0.2">
      <c r="A9" t="s">
        <v>24</v>
      </c>
      <c r="B9">
        <v>73</v>
      </c>
      <c r="H9">
        <v>7</v>
      </c>
      <c r="I9">
        <v>15</v>
      </c>
      <c r="J9">
        <v>3</v>
      </c>
      <c r="K9">
        <v>15</v>
      </c>
      <c r="L9">
        <v>3</v>
      </c>
    </row>
    <row r="10" spans="1:12" x14ac:dyDescent="0.2">
      <c r="A10" t="s">
        <v>27</v>
      </c>
      <c r="B10" s="1">
        <v>0.9</v>
      </c>
      <c r="H10">
        <v>8</v>
      </c>
      <c r="I10">
        <v>1</v>
      </c>
      <c r="J10">
        <v>5</v>
      </c>
      <c r="K10">
        <v>5</v>
      </c>
      <c r="L10">
        <v>5</v>
      </c>
    </row>
    <row r="11" spans="1:12" x14ac:dyDescent="0.2">
      <c r="A11" t="s">
        <v>66</v>
      </c>
      <c r="H11">
        <v>9</v>
      </c>
      <c r="I11">
        <v>13</v>
      </c>
      <c r="J11">
        <v>4</v>
      </c>
      <c r="K11">
        <v>7</v>
      </c>
      <c r="L11">
        <v>4</v>
      </c>
    </row>
    <row r="12" spans="1:12" x14ac:dyDescent="0.2">
      <c r="A12" s="10" t="s">
        <v>32</v>
      </c>
      <c r="H12">
        <v>10</v>
      </c>
      <c r="I12">
        <v>4</v>
      </c>
      <c r="J12">
        <v>5</v>
      </c>
      <c r="K12">
        <v>4</v>
      </c>
      <c r="L12">
        <v>4</v>
      </c>
    </row>
    <row r="13" spans="1:12" x14ac:dyDescent="0.2">
      <c r="A13" t="s">
        <v>33</v>
      </c>
      <c r="B13" s="8">
        <f>SUM(EntryFees)</f>
        <v>320</v>
      </c>
      <c r="H13">
        <v>11</v>
      </c>
      <c r="I13">
        <v>18</v>
      </c>
      <c r="J13">
        <v>4</v>
      </c>
      <c r="K13">
        <v>18</v>
      </c>
      <c r="L13">
        <v>3</v>
      </c>
    </row>
    <row r="14" spans="1:12" x14ac:dyDescent="0.2">
      <c r="A14" t="s">
        <v>69</v>
      </c>
      <c r="B14" t="s">
        <v>34</v>
      </c>
      <c r="H14">
        <v>12</v>
      </c>
      <c r="I14">
        <v>10</v>
      </c>
      <c r="J14">
        <v>5</v>
      </c>
      <c r="K14">
        <v>8</v>
      </c>
      <c r="L14">
        <v>4</v>
      </c>
    </row>
    <row r="15" spans="1:12" x14ac:dyDescent="0.2">
      <c r="A15">
        <v>1</v>
      </c>
      <c r="B15" s="15">
        <v>0.25</v>
      </c>
      <c r="H15">
        <v>13</v>
      </c>
      <c r="I15">
        <v>12</v>
      </c>
      <c r="J15">
        <v>3</v>
      </c>
      <c r="K15">
        <v>16</v>
      </c>
      <c r="L15">
        <v>4</v>
      </c>
    </row>
    <row r="16" spans="1:12" x14ac:dyDescent="0.2">
      <c r="A16">
        <v>2</v>
      </c>
      <c r="B16" s="15">
        <v>0.125</v>
      </c>
      <c r="H16">
        <v>14</v>
      </c>
      <c r="I16">
        <v>2</v>
      </c>
      <c r="J16">
        <v>4</v>
      </c>
      <c r="K16">
        <v>2</v>
      </c>
      <c r="L16">
        <v>5</v>
      </c>
    </row>
    <row r="17" spans="1:12" x14ac:dyDescent="0.2">
      <c r="A17">
        <v>3</v>
      </c>
      <c r="B17" s="15">
        <v>7.4999999999999997E-2</v>
      </c>
      <c r="H17">
        <v>15</v>
      </c>
      <c r="I17">
        <v>8</v>
      </c>
      <c r="J17">
        <v>4</v>
      </c>
      <c r="K17">
        <v>10</v>
      </c>
      <c r="L17">
        <v>4</v>
      </c>
    </row>
    <row r="18" spans="1:12" x14ac:dyDescent="0.2">
      <c r="A18">
        <v>4</v>
      </c>
      <c r="B18" s="15">
        <v>0.05</v>
      </c>
      <c r="H18">
        <v>16</v>
      </c>
      <c r="I18">
        <v>14</v>
      </c>
      <c r="J18">
        <v>3</v>
      </c>
      <c r="K18">
        <v>12</v>
      </c>
      <c r="L18">
        <v>4</v>
      </c>
    </row>
    <row r="19" spans="1:12" x14ac:dyDescent="0.2">
      <c r="A19">
        <v>5</v>
      </c>
      <c r="B19" s="15">
        <v>0</v>
      </c>
      <c r="H19">
        <v>17</v>
      </c>
      <c r="I19">
        <v>16</v>
      </c>
      <c r="J19">
        <v>4</v>
      </c>
      <c r="K19">
        <v>14</v>
      </c>
      <c r="L19">
        <v>3</v>
      </c>
    </row>
    <row r="20" spans="1:12" x14ac:dyDescent="0.2">
      <c r="A20">
        <v>6</v>
      </c>
      <c r="B20" s="15">
        <v>0</v>
      </c>
      <c r="H20">
        <v>18</v>
      </c>
      <c r="I20">
        <v>6</v>
      </c>
      <c r="J20">
        <v>4</v>
      </c>
      <c r="K20">
        <v>6</v>
      </c>
      <c r="L20">
        <v>5</v>
      </c>
    </row>
    <row r="21" spans="1:12" x14ac:dyDescent="0.2">
      <c r="A21">
        <v>7</v>
      </c>
      <c r="B21" s="15">
        <v>0</v>
      </c>
      <c r="H21" t="s">
        <v>61</v>
      </c>
      <c r="I21">
        <f>SUM(I3:I20)</f>
        <v>171</v>
      </c>
      <c r="J21">
        <f>SUM(J3:J20)</f>
        <v>72</v>
      </c>
      <c r="K21">
        <f>SUM(K3:K20)</f>
        <v>171</v>
      </c>
      <c r="L21">
        <f>SUM(L3:L20)</f>
        <v>72</v>
      </c>
    </row>
    <row r="22" spans="1:12" x14ac:dyDescent="0.2">
      <c r="A22">
        <v>8</v>
      </c>
      <c r="B22" s="15">
        <v>0</v>
      </c>
    </row>
    <row r="23" spans="1:12" x14ac:dyDescent="0.2">
      <c r="A23">
        <v>9</v>
      </c>
      <c r="B23" s="15">
        <v>0</v>
      </c>
    </row>
    <row r="24" spans="1:12" x14ac:dyDescent="0.2">
      <c r="A24">
        <v>10</v>
      </c>
      <c r="B24" s="15">
        <v>0</v>
      </c>
    </row>
    <row r="27" spans="1:12" x14ac:dyDescent="0.2">
      <c r="A27" t="s">
        <v>70</v>
      </c>
      <c r="B27" t="s">
        <v>34</v>
      </c>
    </row>
    <row r="28" spans="1:12" x14ac:dyDescent="0.2">
      <c r="A28">
        <v>1</v>
      </c>
      <c r="B28" s="15">
        <v>0.25</v>
      </c>
    </row>
    <row r="29" spans="1:12" x14ac:dyDescent="0.2">
      <c r="A29">
        <v>2</v>
      </c>
      <c r="B29" s="15">
        <v>0</v>
      </c>
    </row>
    <row r="30" spans="1:12" x14ac:dyDescent="0.2">
      <c r="A30">
        <v>3</v>
      </c>
      <c r="B30" s="15">
        <v>0</v>
      </c>
    </row>
    <row r="31" spans="1:12" x14ac:dyDescent="0.2">
      <c r="A31">
        <v>4</v>
      </c>
      <c r="B31" s="15">
        <v>0</v>
      </c>
    </row>
    <row r="32" spans="1:12" x14ac:dyDescent="0.2">
      <c r="A32">
        <v>5</v>
      </c>
      <c r="B32" s="15">
        <v>0</v>
      </c>
    </row>
    <row r="33" spans="1:2" x14ac:dyDescent="0.2">
      <c r="A33">
        <v>6</v>
      </c>
      <c r="B33" s="15">
        <v>0</v>
      </c>
    </row>
    <row r="34" spans="1:2" x14ac:dyDescent="0.2">
      <c r="A34">
        <v>7</v>
      </c>
      <c r="B34" s="15">
        <v>0</v>
      </c>
    </row>
    <row r="35" spans="1:2" x14ac:dyDescent="0.2">
      <c r="A35">
        <v>8</v>
      </c>
      <c r="B35" s="15">
        <v>0</v>
      </c>
    </row>
    <row r="36" spans="1:2" x14ac:dyDescent="0.2">
      <c r="A36">
        <v>9</v>
      </c>
      <c r="B36" s="15">
        <v>0</v>
      </c>
    </row>
    <row r="37" spans="1:2" x14ac:dyDescent="0.2">
      <c r="A37">
        <v>10</v>
      </c>
      <c r="B37" s="15">
        <v>0</v>
      </c>
    </row>
    <row r="40" spans="1:2" x14ac:dyDescent="0.2">
      <c r="A40" t="s">
        <v>71</v>
      </c>
      <c r="B40" t="s">
        <v>34</v>
      </c>
    </row>
    <row r="41" spans="1:2" x14ac:dyDescent="0.2">
      <c r="A41">
        <v>1</v>
      </c>
      <c r="B41" s="15">
        <v>0.25</v>
      </c>
    </row>
    <row r="42" spans="1:2" x14ac:dyDescent="0.2">
      <c r="A42">
        <v>2</v>
      </c>
      <c r="B42" s="15">
        <v>0</v>
      </c>
    </row>
    <row r="43" spans="1:2" x14ac:dyDescent="0.2">
      <c r="A43">
        <v>3</v>
      </c>
      <c r="B43" s="15">
        <v>0</v>
      </c>
    </row>
    <row r="44" spans="1:2" x14ac:dyDescent="0.2">
      <c r="A44">
        <v>4</v>
      </c>
      <c r="B44" s="15">
        <v>0</v>
      </c>
    </row>
    <row r="45" spans="1:2" x14ac:dyDescent="0.2">
      <c r="A45">
        <v>5</v>
      </c>
      <c r="B45" s="15">
        <v>0</v>
      </c>
    </row>
    <row r="46" spans="1:2" x14ac:dyDescent="0.2">
      <c r="A46">
        <v>6</v>
      </c>
      <c r="B46" s="15">
        <v>0</v>
      </c>
    </row>
    <row r="47" spans="1:2" x14ac:dyDescent="0.2">
      <c r="A47">
        <v>7</v>
      </c>
      <c r="B47" s="15">
        <v>0</v>
      </c>
    </row>
    <row r="48" spans="1:2" x14ac:dyDescent="0.2">
      <c r="A48">
        <v>8</v>
      </c>
      <c r="B48" s="15">
        <v>0</v>
      </c>
    </row>
    <row r="49" spans="1:2" x14ac:dyDescent="0.2">
      <c r="A49">
        <v>9</v>
      </c>
      <c r="B49" s="15">
        <v>0</v>
      </c>
    </row>
    <row r="50" spans="1:2" x14ac:dyDescent="0.2">
      <c r="A50">
        <v>10</v>
      </c>
      <c r="B50" s="15">
        <v>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6236C-7006-4C49-BAFC-A24DD9C20460}">
  <dimension ref="B1:V11"/>
  <sheetViews>
    <sheetView tabSelected="1" workbookViewId="0">
      <selection activeCell="R13" sqref="R13"/>
    </sheetView>
  </sheetViews>
  <sheetFormatPr defaultRowHeight="15" x14ac:dyDescent="0.2"/>
  <cols>
    <col min="2" max="2" width="15.46875" bestFit="1" customWidth="1"/>
    <col min="8" max="8" width="15.46875" bestFit="1" customWidth="1"/>
    <col min="14" max="14" width="15.46875" bestFit="1" customWidth="1"/>
    <col min="20" max="20" width="14.390625" bestFit="1" customWidth="1"/>
  </cols>
  <sheetData>
    <row r="1" spans="2:22" x14ac:dyDescent="0.2">
      <c r="B1" t="s">
        <v>68</v>
      </c>
      <c r="I1" t="s">
        <v>72</v>
      </c>
      <c r="O1" t="s">
        <v>73</v>
      </c>
      <c r="T1" t="s">
        <v>75</v>
      </c>
    </row>
    <row r="2" spans="2:22" x14ac:dyDescent="0.2">
      <c r="B2" s="14" t="str" cm="1">
        <f t="array" ref="B2:C9">_xlfn._xlws.SORT(_xlfn._xlws.FILTER(_xlfn._xlws.FILTER('2022 Flying Horse Scoresheet'!$A$1:$V$200,ISNUMBER(FIND("Best Ball",'2022 Flying Horse Scoresheet'!$A$1:$A$200))*NOT('2022 Flying Horse Scoresheet'!$K$1:$K$200=""),""),{1,0,0,0,0,0,0,0,0,0,1,0,0,0,0,0,0,0,0,0,0,0},""),2)</f>
        <v>Team 1 Best Ball</v>
      </c>
      <c r="C2">
        <v>32</v>
      </c>
      <c r="D2">
        <f>IF(ISNA(_xlfn.RANK.EQ(C2,$C$2:$C$10,1)),"",_xlfn.RANK.EQ(C2,$C$2:$C$10,1))</f>
        <v>1</v>
      </c>
      <c r="E2" t="str">
        <f>IF(D2="","",IF(COUNTIF($D$2:$D$10,D2)&gt;1,CONCATENATE("T",D2),TEXT(D2,"0")))</f>
        <v>T1</v>
      </c>
      <c r="F2" s="13">
        <f ca="1">IF(D2="","",IF(ISNA(VLOOKUP(D2,Front9Payouts,1,FALSE)),0,AVERAGE(OFFSET(Front9Payouts,VLOOKUP(D2,Front9Payouts,1,FALSE)-1,1,COUNTIF(D:D,D2)))*Kitty))</f>
        <v>40</v>
      </c>
      <c r="H2" s="14" t="str" cm="1">
        <f t="array" ref="H2:I9">_xlfn._xlws.SORT(_xlfn._xlws.FILTER(_xlfn._xlws.FILTER('2022 Flying Horse Scoresheet'!$A$1:$V$200,ISNUMBER(FIND("Best Ball",'2022 Flying Horse Scoresheet'!$A$1:$A$200))*NOT('2022 Flying Horse Scoresheet'!$U$1:$U$200=""),""),{1,0,0,0,0,0,0,0,0,0,0,0,0,0,0,0,0,0,0,0,1,0},""),2)</f>
        <v>Team 4 Best Ball</v>
      </c>
      <c r="I2">
        <v>31</v>
      </c>
      <c r="J2">
        <f>IF(ISNA(_xlfn.RANK.EQ(I2,$I$2:$I$10,1)),"",_xlfn.RANK.EQ(I2,$I$2:$I10,1))</f>
        <v>1</v>
      </c>
      <c r="K2" t="str">
        <f t="shared" ref="K2:K3" si="0">IF(J2="","",IF(COUNTIF($J$2:$J$10,J2)&gt;1,CONCATENATE("T",J2),TEXT(J2,"0")))</f>
        <v>1</v>
      </c>
      <c r="L2" s="13">
        <f ca="1">IF(J2="","",IF(ISNA(VLOOKUP(J2,Back9Payouts,1,FALSE)),0,AVERAGE(OFFSET(Back9Payouts,VLOOKUP(J2,Back9Payouts,1,FALSE)-1,1,COUNTIF(J:J,J2)))*Kitty))</f>
        <v>80</v>
      </c>
      <c r="N2" s="14" t="str" cm="1">
        <f t="array" ref="N2:O9">_xlfn._xlws.SORT(_xlfn._xlws.FILTER(_xlfn._xlws.FILTER('2022 Flying Horse Scoresheet'!$A$1:$V$200,ISNUMBER(FIND("Best Ball",'2022 Flying Horse Scoresheet'!$A$1:$A$200))*NOT('2022 Flying Horse Scoresheet'!$V$1:$V$200=""),""),{1,0,0,0,0,0,0,0,0,0,0,0,0,0,0,0,0,0,0,0,0,1},""),2)</f>
        <v>Team 4 Best Ball</v>
      </c>
      <c r="O2">
        <v>63</v>
      </c>
      <c r="P2">
        <f>IF(ISNA(_xlfn.RANK.EQ(O2,$O$2:$O$10,1)),"",_xlfn.RANK.EQ(O2,$O$2:$O10,1))</f>
        <v>1</v>
      </c>
      <c r="Q2" t="str">
        <f>IF(P2="","",IF(COUNTIF($P$2:$P$10,P2)&gt;1,CONCATENATE("T",P2),TEXT(P2,"0")))</f>
        <v>1</v>
      </c>
      <c r="R2" s="13">
        <f ca="1">IF(P2="","",IF(ISNA(VLOOKUP(P2,PlacePayouts,1,FALSE)),0,AVERAGE(OFFSET(PlacePayouts,VLOOKUP(P2,PlacePayouts,1,FALSE)-1,1,COUNTIF(P:P,P2)))*Kitty))</f>
        <v>80</v>
      </c>
      <c r="T2" t="str" cm="1">
        <f t="array" ref="T2:U9">_xlfn._xlws.FILTER(_xlfn._xlws.SORT(_xlfn._xlws.FILTER(_xlfn._xlws.FILTER(Players!A2:D17,Players!D2:D17=1),{1,0,1,0}),2),{1,1})</f>
        <v>Todd Hubbard</v>
      </c>
      <c r="U2">
        <v>1</v>
      </c>
      <c r="V2" t="str" cm="1">
        <f t="array" ref="V2:V9">_xlfn._xlws.FILTER(_xlfn._xlws.SORT(_xlfn._xlws.FILTER(_xlfn._xlws.FILTER(Players!A2:D17,Players!D2:D17=2),{1,0,1,0}),2),{1,0})</f>
        <v>Travis Hubbard</v>
      </c>
    </row>
    <row r="3" spans="2:22" x14ac:dyDescent="0.2">
      <c r="B3" s="9" t="str">
        <v>Team 4 Best Ball</v>
      </c>
      <c r="C3">
        <v>32</v>
      </c>
      <c r="D3">
        <f t="shared" ref="D3:D11" si="1">IF(ISNA(_xlfn.RANK.EQ(C3,$C$2:$C$10,1)),"",_xlfn.RANK.EQ(C3,$C$2:$C$10,1))</f>
        <v>1</v>
      </c>
      <c r="E3" t="str">
        <f t="shared" ref="E3:E8" si="2">IF(D3="","",IF(COUNTIF($D$2:$D$10,D3)&gt;1,CONCATENATE("T",D3),TEXT(D3,"0")))</f>
        <v>T1</v>
      </c>
      <c r="F3" s="13">
        <f ca="1">IF(D3="","",IF(ISNA(VLOOKUP(D3,Front9Payouts,1,FALSE)),0,AVERAGE(OFFSET(Front9Payouts,VLOOKUP(D3,Front9Payouts,1,FALSE)-1,1,COUNTIF(D:D,D3)))*Kitty))</f>
        <v>40</v>
      </c>
      <c r="H3" t="str">
        <v>Team 3 Best Ball</v>
      </c>
      <c r="I3">
        <v>32</v>
      </c>
      <c r="J3">
        <f>IF(ISNA(_xlfn.RANK.EQ(I3,$I$2:$I$10,1)),"",_xlfn.RANK.EQ(I3,$I$2:$I11,1))</f>
        <v>2</v>
      </c>
      <c r="K3" t="str">
        <f t="shared" si="0"/>
        <v>2</v>
      </c>
      <c r="L3" s="13">
        <f ca="1">IF(J3="","",IF(ISNA(VLOOKUP(J3,Back9Payouts,1,FALSE)),0,AVERAGE(OFFSET(Back9Payouts,VLOOKUP(J3,Back9Payouts,1,FALSE)-1,1,COUNTIF(J:J,J3)))*Kitty))</f>
        <v>0</v>
      </c>
      <c r="N3" t="str">
        <v>Team 3 Best Ball</v>
      </c>
      <c r="O3">
        <v>66</v>
      </c>
      <c r="P3">
        <f>IF(ISNA(_xlfn.RANK.EQ(O3,$O$2:$O$10,1)),"",_xlfn.RANK.EQ(O3,$O$2:$O11,1))</f>
        <v>2</v>
      </c>
      <c r="Q3" t="str">
        <f t="shared" ref="Q3:Q8" si="3">IF(P3="","",IF(COUNTIF($P$2:$P$10,P3)&gt;1,CONCATENATE("T",P3),TEXT(P3,"0")))</f>
        <v>2</v>
      </c>
      <c r="R3" s="13">
        <f ca="1">IF(P3="","",IF(ISNA(VLOOKUP(P3,PlacePayouts,1,FALSE)),0,AVERAGE(OFFSET(PlacePayouts,VLOOKUP(P3,PlacePayouts,1,FALSE)-1,1,COUNTIF(P:P,P3)))*Kitty))</f>
        <v>40</v>
      </c>
      <c r="T3" t="str">
        <v>John Allen</v>
      </c>
      <c r="U3">
        <v>2</v>
      </c>
      <c r="V3" t="str">
        <v>Patrick Calhoun</v>
      </c>
    </row>
    <row r="4" spans="2:22" x14ac:dyDescent="0.2">
      <c r="B4" s="9" t="str">
        <v>Team 3 Best Ball</v>
      </c>
      <c r="C4">
        <v>34</v>
      </c>
      <c r="D4">
        <f t="shared" si="1"/>
        <v>3</v>
      </c>
      <c r="E4" t="str">
        <f t="shared" si="2"/>
        <v>3</v>
      </c>
      <c r="F4" s="13">
        <f ca="1">IF(D4="","",IF(ISNA(VLOOKUP(D4,Front9Payouts,1,FALSE)),0,AVERAGE(OFFSET(Front9Payouts,VLOOKUP(D4,Front9Payouts,1,FALSE)-1,1,COUNTIF(D:D,D4)))*Kitty))</f>
        <v>0</v>
      </c>
      <c r="H4" t="str">
        <v>Team 6 Best Ball</v>
      </c>
      <c r="I4">
        <v>34</v>
      </c>
      <c r="J4">
        <f>IF(ISNA(_xlfn.RANK.EQ(I4,$I$2:$I$10,1)),"",_xlfn.RANK.EQ(I4,$I$2:$I12,1))</f>
        <v>3</v>
      </c>
      <c r="K4" t="str">
        <f>IF(J4="","",IF(COUNTIF($J$2:$J$10,J4)&gt;1,CONCATENATE("T",J4),TEXT(J4,"0")))</f>
        <v>T3</v>
      </c>
      <c r="L4" s="13">
        <f ca="1">IF(J4="","",IF(ISNA(VLOOKUP(J4,Back9Payouts,1,FALSE)),0,AVERAGE(OFFSET(Back9Payouts,VLOOKUP(J4,Back9Payouts,1,FALSE)-1,1,COUNTIF(J:J,J4)))*Kitty))</f>
        <v>0</v>
      </c>
      <c r="N4" t="str">
        <v>Team 1 Best Ball</v>
      </c>
      <c r="O4">
        <v>67</v>
      </c>
      <c r="P4">
        <f>IF(ISNA(_xlfn.RANK.EQ(O4,$O$2:$O$10,1)),"",_xlfn.RANK.EQ(O4,$O$2:$O12,1))</f>
        <v>3</v>
      </c>
      <c r="Q4" t="str">
        <f t="shared" si="3"/>
        <v>3</v>
      </c>
      <c r="R4" s="13">
        <f ca="1">IF(P4="","",IF(ISNA(VLOOKUP(P4,PlacePayouts,1,FALSE)),0,AVERAGE(OFFSET(PlacePayouts,VLOOKUP(P4,PlacePayouts,1,FALSE)-1,1,COUNTIF(P:P,P4)))*Kitty))</f>
        <v>24</v>
      </c>
      <c r="T4" t="str">
        <v>Ken Moon</v>
      </c>
      <c r="U4">
        <v>3</v>
      </c>
      <c r="V4" t="str">
        <v>Pom Moon</v>
      </c>
    </row>
    <row r="5" spans="2:22" x14ac:dyDescent="0.2">
      <c r="B5" s="9" t="str">
        <v>Team 2 Best Ball</v>
      </c>
      <c r="C5">
        <v>35</v>
      </c>
      <c r="D5">
        <f t="shared" si="1"/>
        <v>4</v>
      </c>
      <c r="E5" t="str">
        <f t="shared" si="2"/>
        <v>T4</v>
      </c>
      <c r="F5" s="13">
        <f ca="1">IF(D5="","",IF(ISNA(VLOOKUP(D5,Front9Payouts,1,FALSE)),0,AVERAGE(OFFSET(Front9Payouts,VLOOKUP(D5,Front9Payouts,1,FALSE)-1,1,COUNTIF(D:D,D5)))*Kitty))</f>
        <v>0</v>
      </c>
      <c r="H5" t="str">
        <v>Team 8 Best Ball</v>
      </c>
      <c r="I5">
        <v>34</v>
      </c>
      <c r="J5">
        <f>IF(ISNA(_xlfn.RANK.EQ(I5,$I$2:$I$10,1)),"",_xlfn.RANK.EQ(I5,$I$2:$I13,1))</f>
        <v>3</v>
      </c>
      <c r="K5" t="str">
        <f t="shared" ref="K5:K11" si="4">IF(J5="","",IF(COUNTIF($J$2:$J$10,J5)&gt;1,CONCATENATE("T",J5),TEXT(J5,"0")))</f>
        <v>T3</v>
      </c>
      <c r="L5" s="13">
        <f ca="1">IF(J5="","",IF(ISNA(VLOOKUP(J5,Back9Payouts,1,FALSE)),0,AVERAGE(OFFSET(Back9Payouts,VLOOKUP(J5,Back9Payouts,1,FALSE)-1,1,COUNTIF(J:J,J5)))*Kitty))</f>
        <v>0</v>
      </c>
      <c r="N5" t="str">
        <v>Team 6 Best Ball</v>
      </c>
      <c r="O5">
        <v>69</v>
      </c>
      <c r="P5">
        <f>IF(ISNA(_xlfn.RANK.EQ(O5,$O$2:$O$10,1)),"",_xlfn.RANK.EQ(O5,$O$2:$O13,1))</f>
        <v>4</v>
      </c>
      <c r="Q5" t="str">
        <f t="shared" si="3"/>
        <v>4</v>
      </c>
      <c r="R5" s="13">
        <f ca="1">IF(P5="","",IF(ISNA(VLOOKUP(P5,PlacePayouts,1,FALSE)),0,AVERAGE(OFFSET(PlacePayouts,VLOOKUP(P5,PlacePayouts,1,FALSE)-1,1,COUNTIF(P:P,P5)))*Kitty))</f>
        <v>16</v>
      </c>
      <c r="T5" t="str">
        <v>Alex Freimuth</v>
      </c>
      <c r="U5">
        <v>4</v>
      </c>
      <c r="V5" t="str">
        <v>Patrick Shin</v>
      </c>
    </row>
    <row r="6" spans="2:22" x14ac:dyDescent="0.2">
      <c r="B6" s="9" t="str">
        <v>Team 6 Best Ball</v>
      </c>
      <c r="C6">
        <v>35</v>
      </c>
      <c r="D6">
        <f t="shared" si="1"/>
        <v>4</v>
      </c>
      <c r="E6" t="str">
        <f t="shared" si="2"/>
        <v>T4</v>
      </c>
      <c r="F6" s="13">
        <f ca="1">IF(D6="","",IF(ISNA(VLOOKUP(D6,Front9Payouts,1,FALSE)),0,AVERAGE(OFFSET(Front9Payouts,VLOOKUP(D6,Front9Payouts,1,FALSE)-1,1,COUNTIF(D:D,D6)))*Kitty))</f>
        <v>0</v>
      </c>
      <c r="H6" t="str">
        <v>Team 1 Best Ball</v>
      </c>
      <c r="I6">
        <v>35</v>
      </c>
      <c r="J6">
        <f>IF(ISNA(_xlfn.RANK.EQ(I6,$I$2:$I$10,1)),"",_xlfn.RANK.EQ(I6,$I$2:$I14,1))</f>
        <v>5</v>
      </c>
      <c r="K6" t="str">
        <f t="shared" si="4"/>
        <v>T5</v>
      </c>
      <c r="L6" s="13">
        <f ca="1">IF(J6="","",IF(ISNA(VLOOKUP(J6,Back9Payouts,1,FALSE)),0,AVERAGE(OFFSET(Back9Payouts,VLOOKUP(J6,Back9Payouts,1,FALSE)-1,1,COUNTIF(J:J,J6)))*Kitty))</f>
        <v>0</v>
      </c>
      <c r="N6" t="str">
        <v>Team 2 Best Ball</v>
      </c>
      <c r="O6">
        <v>70</v>
      </c>
      <c r="P6">
        <f>IF(ISNA(_xlfn.RANK.EQ(O6,$O$2:$O$10,1)),"",_xlfn.RANK.EQ(O6,$O$2:$O14,1))</f>
        <v>5</v>
      </c>
      <c r="Q6" t="str">
        <f t="shared" si="3"/>
        <v>5</v>
      </c>
      <c r="R6" s="13">
        <f ca="1">IF(P6="","",IF(ISNA(VLOOKUP(P6,PlacePayouts,1,FALSE)),0,AVERAGE(OFFSET(PlacePayouts,VLOOKUP(P6,PlacePayouts,1,FALSE)-1,1,COUNTIF(P:P,P6)))*Kitty))</f>
        <v>0</v>
      </c>
      <c r="T6" t="str">
        <v>Jerry Ohu</v>
      </c>
      <c r="U6">
        <v>5</v>
      </c>
      <c r="V6" t="str">
        <v>John Day</v>
      </c>
    </row>
    <row r="7" spans="2:22" x14ac:dyDescent="0.2">
      <c r="B7" s="9" t="str">
        <v>Team 7 Best Ball</v>
      </c>
      <c r="C7">
        <v>35</v>
      </c>
      <c r="D7">
        <f t="shared" si="1"/>
        <v>4</v>
      </c>
      <c r="E7" t="str">
        <f t="shared" si="2"/>
        <v>T4</v>
      </c>
      <c r="F7" s="13">
        <f ca="1">IF(D7="","",IF(ISNA(VLOOKUP(D7,Front9Payouts,1,FALSE)),0,AVERAGE(OFFSET(Front9Payouts,VLOOKUP(D7,Front9Payouts,1,FALSE)-1,1,COUNTIF(D:D,D7)))*Kitty))</f>
        <v>0</v>
      </c>
      <c r="H7" t="str">
        <v>Team 2 Best Ball</v>
      </c>
      <c r="I7">
        <v>35</v>
      </c>
      <c r="J7">
        <f>IF(ISNA(_xlfn.RANK.EQ(I7,$I$2:$I$10,1)),"",_xlfn.RANK.EQ(I7,$I$2:$I15,1))</f>
        <v>5</v>
      </c>
      <c r="K7" t="str">
        <f t="shared" si="4"/>
        <v>T5</v>
      </c>
      <c r="L7" s="13">
        <f ca="1">IF(J7="","",IF(ISNA(VLOOKUP(J7,Back9Payouts,1,FALSE)),0,AVERAGE(OFFSET(Back9Payouts,VLOOKUP(J7,Back9Payouts,1,FALSE)-1,1,COUNTIF(J:J,J7)))*Kitty))</f>
        <v>0</v>
      </c>
      <c r="N7" t="str">
        <v>Team 8 Best Ball</v>
      </c>
      <c r="O7">
        <v>72</v>
      </c>
      <c r="P7">
        <f>IF(ISNA(_xlfn.RANK.EQ(O7,$O$2:$O$10,1)),"",_xlfn.RANK.EQ(O7,$O$2:$O15,1))</f>
        <v>6</v>
      </c>
      <c r="Q7" t="str">
        <f t="shared" si="3"/>
        <v>6</v>
      </c>
      <c r="R7" s="13">
        <f ca="1">IF(P7="","",IF(ISNA(VLOOKUP(P7,PlacePayouts,1,FALSE)),0,AVERAGE(OFFSET(PlacePayouts,VLOOKUP(P7,PlacePayouts,1,FALSE)-1,1,COUNTIF(P:P,P7)))*Kitty))</f>
        <v>0</v>
      </c>
      <c r="T7" t="str">
        <v>Jeff Mattingley</v>
      </c>
      <c r="U7">
        <v>6</v>
      </c>
      <c r="V7" t="str">
        <v>Shawn Flynn</v>
      </c>
    </row>
    <row r="8" spans="2:22" x14ac:dyDescent="0.2">
      <c r="B8" s="9" t="str">
        <v>Team 8 Best Ball</v>
      </c>
      <c r="C8">
        <v>38</v>
      </c>
      <c r="D8">
        <f t="shared" si="1"/>
        <v>7</v>
      </c>
      <c r="E8" t="str">
        <f t="shared" si="2"/>
        <v>7</v>
      </c>
      <c r="F8" s="13">
        <f ca="1">IF(D8="","",IF(ISNA(VLOOKUP(D8,Front9Payouts,1,FALSE)),0,AVERAGE(OFFSET(Front9Payouts,VLOOKUP(D8,Front9Payouts,1,FALSE)-1,1,COUNTIF(D:D,D8)))*Kitty))</f>
        <v>0</v>
      </c>
      <c r="H8" t="str">
        <v>Team 5 Best Ball</v>
      </c>
      <c r="I8">
        <v>38</v>
      </c>
      <c r="J8">
        <f>IF(ISNA(_xlfn.RANK.EQ(I8,$I$2:$I$10,1)),"",_xlfn.RANK.EQ(I8,$I$2:$I16,1))</f>
        <v>7</v>
      </c>
      <c r="K8" t="str">
        <f t="shared" si="4"/>
        <v>T7</v>
      </c>
      <c r="L8" s="13">
        <f ca="1">IF(J8="","",IF(ISNA(VLOOKUP(J8,Back9Payouts,1,FALSE)),0,AVERAGE(OFFSET(Back9Payouts,VLOOKUP(J8,Back9Payouts,1,FALSE)-1,1,COUNTIF(J:J,J8)))*Kitty))</f>
        <v>0</v>
      </c>
      <c r="N8" t="str">
        <v>Team 7 Best Ball</v>
      </c>
      <c r="O8">
        <v>73</v>
      </c>
      <c r="P8">
        <f>IF(ISNA(_xlfn.RANK.EQ(O8,$O$2:$O$10,1)),"",_xlfn.RANK.EQ(O8,$O$2:$O16,1))</f>
        <v>7</v>
      </c>
      <c r="Q8" t="str">
        <f t="shared" si="3"/>
        <v>7</v>
      </c>
      <c r="R8" s="13">
        <f ca="1">IF(P8="","",IF(ISNA(VLOOKUP(P8,PlacePayouts,1,FALSE)),0,AVERAGE(OFFSET(PlacePayouts,VLOOKUP(P8,PlacePayouts,1,FALSE)-1,1,COUNTIF(P:P,P8)))*Kitty))</f>
        <v>0</v>
      </c>
      <c r="T8" t="str">
        <v>Scott O'Hare</v>
      </c>
      <c r="U8">
        <v>7</v>
      </c>
      <c r="V8" t="str">
        <v>John Bachman</v>
      </c>
    </row>
    <row r="9" spans="2:22" x14ac:dyDescent="0.2">
      <c r="B9" t="str">
        <v>Team 5 Best Ball</v>
      </c>
      <c r="C9">
        <v>39</v>
      </c>
      <c r="D9">
        <f t="shared" si="1"/>
        <v>8</v>
      </c>
      <c r="E9" t="str">
        <f t="shared" ref="E4:E10" si="5">IF(D9="","",IF(COUNTIF($D$2:$D$10,D9)&gt;1,CONCATENATE("T",D9),TEXT(D9,"0")))</f>
        <v>8</v>
      </c>
      <c r="F9" s="13">
        <f ca="1">IF(D9="","",IF(ISNA(VLOOKUP(D9,Front9Payouts,1,FALSE)),0,AVERAGE(OFFSET(Front9Payouts,VLOOKUP(D9,Front9Payouts,1,FALSE)-1,1,COUNTIF(D:D,D9)))*Kitty))</f>
        <v>0</v>
      </c>
      <c r="H9" t="str">
        <v>Team 7 Best Ball</v>
      </c>
      <c r="I9">
        <v>38</v>
      </c>
      <c r="J9">
        <f>IF(ISNA(_xlfn.RANK.EQ(I9,$I$2:$I$10,1)),"",_xlfn.RANK.EQ(I9,$I$2:$I17,1))</f>
        <v>7</v>
      </c>
      <c r="K9" t="str">
        <f t="shared" si="4"/>
        <v>T7</v>
      </c>
      <c r="L9" s="13">
        <f ca="1">IF(J9="","",IF(ISNA(VLOOKUP(J9,Back9Payouts,1,FALSE)),0,AVERAGE(OFFSET(Back9Payouts,VLOOKUP(J9,Back9Payouts,1,FALSE)-1,1,COUNTIF(J:J,J9)))*Kitty))</f>
        <v>0</v>
      </c>
      <c r="N9" t="str">
        <v>Team 5 Best Ball</v>
      </c>
      <c r="O9">
        <v>77</v>
      </c>
      <c r="P9">
        <f>IF(ISNA(_xlfn.RANK.EQ(O9,$O$2:$O$10,1)),"",_xlfn.RANK.EQ(O9,$O$2:$O17,1))</f>
        <v>8</v>
      </c>
      <c r="Q9" t="str">
        <f t="shared" ref="Q9:Q10" si="6">IF(P9="","",IF(COUNTIF($D$2:$D$10,P9)&gt;1,CONCATENATE("T",P9),TEXT(P9,"0")))</f>
        <v>8</v>
      </c>
      <c r="R9" s="13">
        <f ca="1">IF(P9="","",IF(ISNA(VLOOKUP(P9,Back9Payouts,1,FALSE)),0,AVERAGE(OFFSET(Back9Payouts,VLOOKUP(P9,Back9Payouts,1,FALSE)-1,1,COUNTIF(P:P,P9)))*Kitty))</f>
        <v>0</v>
      </c>
      <c r="T9" t="str">
        <v>Jim Kellum</v>
      </c>
      <c r="U9">
        <v>8</v>
      </c>
      <c r="V9" t="str">
        <v>Curt Balcerzak</v>
      </c>
    </row>
    <row r="10" spans="2:22" x14ac:dyDescent="0.2">
      <c r="D10" t="str">
        <f t="shared" si="1"/>
        <v/>
      </c>
      <c r="E10" t="str">
        <f t="shared" si="5"/>
        <v/>
      </c>
      <c r="F10" s="13" t="str">
        <f ca="1">IF(D10="","",IF(ISNA(VLOOKUP(D10,Front9Payouts,1,FALSE)),0,AVERAGE(OFFSET(Front9Payouts,VLOOKUP(D10,Front9Payouts,1,FALSE)-1,1,COUNTIF(D:D,D10)))*Kitty))</f>
        <v/>
      </c>
      <c r="J10" t="str">
        <f>IF(ISNA(_xlfn.RANK.EQ(I10,$I$2:$I$10,1)),"",_xlfn.RANK.EQ(I10,$I$2:$I18,1))</f>
        <v/>
      </c>
      <c r="K10" t="str">
        <f t="shared" si="4"/>
        <v/>
      </c>
      <c r="L10" s="13" t="str">
        <f ca="1">IF(J10="","",IF(ISNA(VLOOKUP(J10,Back9Payouts,1,FALSE)),0,AVERAGE(OFFSET(Back9Payouts,VLOOKUP(J10,Back9Payouts,1,FALSE)-1,1,COUNTIF(J:J,J10)))*Kitty))</f>
        <v/>
      </c>
      <c r="P10" t="str">
        <f>IF(ISNA(_xlfn.RANK.EQ(O10,$O$2:$O$10,1)),"",_xlfn.RANK.EQ(O10,$O$2:$O18,1))</f>
        <v/>
      </c>
      <c r="Q10" t="str">
        <f t="shared" si="6"/>
        <v/>
      </c>
      <c r="R10" s="13" t="str">
        <f ca="1">IF(P10="","",IF(ISNA(VLOOKUP(P10,Back9Payouts,1,FALSE)),0,AVERAGE(OFFSET(Back9Payouts,VLOOKUP(P10,Back9Payouts,1,FALSE)-1,1,COUNTIF(P:P,P10)))*Kitty))</f>
        <v/>
      </c>
    </row>
    <row r="11" spans="2:22" x14ac:dyDescent="0.2">
      <c r="D11" t="str">
        <f t="shared" si="1"/>
        <v/>
      </c>
      <c r="F11" s="13" t="str">
        <f ca="1">IF(D11="","",IF(ISNA(VLOOKUP(D11,Front9Payouts,1,FALSE)),0,AVERAGE(OFFSET(Front9Payouts,VLOOKUP(D11,Front9Payouts,1,FALSE)-1,1,COUNTIF(D:D,D11)))*Kitty))</f>
        <v/>
      </c>
      <c r="J11" t="str">
        <f>IF(ISNA(_xlfn.RANK.EQ(I11,$I$2:$I$10,1)),"",_xlfn.RANK.EQ(I11,$I$2:$I19,1))</f>
        <v/>
      </c>
      <c r="K11" t="str">
        <f t="shared" si="4"/>
        <v/>
      </c>
      <c r="L11" s="13" t="str">
        <f ca="1">IF(J11="","",IF(ISNA(VLOOKUP(J11,Back9Payouts,1,FALSE)),0,AVERAGE(OFFSET(Back9Payouts,VLOOKUP(J11,Back9Payouts,1,FALSE)-1,1,COUNTIF(J:J,J11)))*Kitty))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21</vt:i4>
      </vt:variant>
    </vt:vector>
  </HeadingPairs>
  <TitlesOfParts>
    <vt:vector size="25" baseType="lpstr">
      <vt:lpstr>2022 Flying Horse Scoresheet</vt:lpstr>
      <vt:lpstr>Players</vt:lpstr>
      <vt:lpstr>Course &amp; Tourney</vt:lpstr>
      <vt:lpstr>Results</vt:lpstr>
      <vt:lpstr>Back9Payouts</vt:lpstr>
      <vt:lpstr>EntryFees</vt:lpstr>
      <vt:lpstr>Front9Payouts</vt:lpstr>
      <vt:lpstr>HandicapAllowance</vt:lpstr>
      <vt:lpstr>HoleHandicapF</vt:lpstr>
      <vt:lpstr>HoleHandicapM</vt:lpstr>
      <vt:lpstr>HoleInfo</vt:lpstr>
      <vt:lpstr>HoleParF</vt:lpstr>
      <vt:lpstr>HoleParM</vt:lpstr>
      <vt:lpstr>Kitty</vt:lpstr>
      <vt:lpstr>MaxIndex</vt:lpstr>
      <vt:lpstr>MensTees</vt:lpstr>
      <vt:lpstr>PlacePayouts</vt:lpstr>
      <vt:lpstr>PlayerGender</vt:lpstr>
      <vt:lpstr>PlayerHandicaps</vt:lpstr>
      <vt:lpstr>PlayerNames</vt:lpstr>
      <vt:lpstr>PlayerPlayerNo</vt:lpstr>
      <vt:lpstr>PlayerTeamNo</vt:lpstr>
      <vt:lpstr>PlayerTees</vt:lpstr>
      <vt:lpstr>2022 Flying Horse Scoresheet!Print_Area</vt:lpstr>
      <vt:lpstr>WomenTees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Dad's Gaming PC</cp:lastModifiedBy>
  <cp:lastPrinted>2022-05-15T04:38:28Z</cp:lastPrinted>
  <dcterms:created xsi:type="dcterms:W3CDTF">2020-11-08T06:36:47Z</dcterms:created>
  <dcterms:modified xsi:type="dcterms:W3CDTF">2022-05-15T05:16:00Z</dcterms:modified>
</cp:coreProperties>
</file>