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159" documentId="13_ncr:1_{CAB7E393-18F7-41B8-BF61-81C37FB61AD6}" xr6:coauthVersionLast="47" xr6:coauthVersionMax="47" xr10:uidLastSave="{144E26CD-1858-B04D-921C-10CE960A717D}"/>
  <bookViews>
    <workbookView xWindow="-120" yWindow="-120" windowWidth="29040" windowHeight="15840" xr2:uid="{154BBAC1-B773-4CBF-97A2-0D3C1BE39B36}"/>
  </bookViews>
  <sheets>
    <sheet name="2022 USAFA SIlver Scoresheet" sheetId="1" r:id="rId1"/>
    <sheet name="Players" sheetId="2" r:id="rId2"/>
    <sheet name="Course &amp; Tourney" sheetId="3" r:id="rId3"/>
    <sheet name="Results" sheetId="4" r:id="rId4"/>
  </sheets>
  <definedNames>
    <definedName name="Back9Payouts">'Course &amp; Tourney'!$A$41:$B$50</definedName>
    <definedName name="EntryFees">Players!$F$2:$F$8</definedName>
    <definedName name="Front9Payouts">'Course &amp; Tourney'!$A$28:$B$37</definedName>
    <definedName name="HandicapAllowance">'Course &amp; Tourney'!$B$10</definedName>
    <definedName name="HoleHandicapF">'Course &amp; Tourney'!$K$3:$K$20</definedName>
    <definedName name="HoleHandicapM">'Course &amp; Tourney'!$I$3:$I$20</definedName>
    <definedName name="HoleInfo">'Course &amp; Tourney'!$H$3:$H$20</definedName>
    <definedName name="HoleParF">'Course &amp; Tourney'!$L$3:$L$20</definedName>
    <definedName name="HoleParM">'Course &amp; Tourney'!$J$3:$J$20</definedName>
    <definedName name="Kitty">'Course &amp; Tourney'!$B$13</definedName>
    <definedName name="MaxIndex">'Course &amp; Tourney'!$B$11</definedName>
    <definedName name="MensTees">'Course &amp; Tourney'!$B$2:$E$5</definedName>
    <definedName name="PlacePayouts">'Course &amp; Tourney'!$A$15:$B$24</definedName>
    <definedName name="PlayerGender">Players!$D$2:$D$8</definedName>
    <definedName name="PlayerHandicaps">Players!$B$2:$B$8</definedName>
    <definedName name="PlayerNames">Players!$A$2:$A$8</definedName>
    <definedName name="PlayerPlayerNo">Players!$C$2:$C$8</definedName>
    <definedName name="PlayerTees">Players!$E$2:$E$8</definedName>
    <definedName name="_xlnm.Print_Area" localSheetId="0">'2022 USAFA SIlver Scoresheet'!$A$8:$V$113</definedName>
    <definedName name="WomenTees">'Course &amp; Tourney'!$B$6:$E$10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9" i="1" l="1"/>
  <c r="P28" i="1" a="1"/>
  <c r="P28" i="1"/>
  <c r="Q28" i="1" a="1"/>
  <c r="Q28" i="1"/>
  <c r="R28" i="1" a="1"/>
  <c r="R28" i="1"/>
  <c r="S28" i="1" a="1"/>
  <c r="S28" i="1"/>
  <c r="T28" i="1" a="1"/>
  <c r="T28" i="1"/>
  <c r="U28" i="1" a="1"/>
  <c r="U28" i="1"/>
  <c r="V28" i="1" a="1"/>
  <c r="V28" i="1"/>
  <c r="W28" i="1" a="1"/>
  <c r="W28" i="1"/>
  <c r="X28" i="1" a="1"/>
  <c r="X28" i="1"/>
  <c r="Z29" i="1"/>
  <c r="O29" i="1"/>
  <c r="N28" i="1" a="1"/>
  <c r="N28" i="1"/>
  <c r="M28" i="1" a="1"/>
  <c r="M28" i="1"/>
  <c r="L28" i="1" a="1"/>
  <c r="L28" i="1"/>
  <c r="K28" i="1" a="1"/>
  <c r="K28" i="1"/>
  <c r="J28" i="1" a="1"/>
  <c r="J28" i="1"/>
  <c r="I28" i="1" a="1"/>
  <c r="I28" i="1"/>
  <c r="H28" i="1" a="1"/>
  <c r="H28" i="1"/>
  <c r="G28" i="1" a="1"/>
  <c r="G28" i="1"/>
  <c r="F28" i="1" a="1"/>
  <c r="F28" i="1"/>
  <c r="C28" i="1" a="1"/>
  <c r="C28" i="1"/>
  <c r="B28" i="1" a="1"/>
  <c r="B28" i="1"/>
  <c r="D28" i="1" a="1"/>
  <c r="D28" i="1"/>
  <c r="A29" i="1" a="1"/>
  <c r="A29" i="1"/>
  <c r="E28" i="1"/>
  <c r="Z25" i="1"/>
  <c r="Y25" i="1"/>
  <c r="O25" i="1"/>
  <c r="X24" i="1" a="1"/>
  <c r="X24" i="1"/>
  <c r="W24" i="1" a="1"/>
  <c r="W24" i="1"/>
  <c r="V24" i="1" a="1"/>
  <c r="V24" i="1"/>
  <c r="U24" i="1" a="1"/>
  <c r="U24" i="1"/>
  <c r="T24" i="1" a="1"/>
  <c r="T24" i="1"/>
  <c r="S24" i="1" a="1"/>
  <c r="S24" i="1"/>
  <c r="R24" i="1" a="1"/>
  <c r="R24" i="1"/>
  <c r="Q24" i="1" a="1"/>
  <c r="Q24" i="1"/>
  <c r="P24" i="1" a="1"/>
  <c r="P24" i="1"/>
  <c r="N24" i="1" a="1"/>
  <c r="N24" i="1"/>
  <c r="M24" i="1" a="1"/>
  <c r="M24" i="1"/>
  <c r="L24" i="1" a="1"/>
  <c r="L24" i="1"/>
  <c r="K24" i="1" a="1"/>
  <c r="K24" i="1"/>
  <c r="J24" i="1" a="1"/>
  <c r="J24" i="1"/>
  <c r="I24" i="1" a="1"/>
  <c r="I24" i="1"/>
  <c r="H24" i="1" a="1"/>
  <c r="H24" i="1"/>
  <c r="G24" i="1" a="1"/>
  <c r="G24" i="1"/>
  <c r="F24" i="1" a="1"/>
  <c r="F24" i="1"/>
  <c r="C24" i="1" a="1"/>
  <c r="C24" i="1"/>
  <c r="B24" i="1" a="1"/>
  <c r="B24" i="1"/>
  <c r="D24" i="1" a="1"/>
  <c r="D24" i="1"/>
  <c r="A25" i="1" a="1"/>
  <c r="A25" i="1"/>
  <c r="E24" i="1"/>
  <c r="Z21" i="1"/>
  <c r="Y29" i="1"/>
  <c r="O21" i="1"/>
  <c r="X20" i="1" a="1"/>
  <c r="X20" i="1"/>
  <c r="W20" i="1" a="1"/>
  <c r="W20" i="1"/>
  <c r="V20" i="1" a="1"/>
  <c r="V20" i="1"/>
  <c r="U20" i="1" a="1"/>
  <c r="U20" i="1"/>
  <c r="T20" i="1" a="1"/>
  <c r="T20" i="1"/>
  <c r="S20" i="1" a="1"/>
  <c r="S20" i="1"/>
  <c r="R20" i="1" a="1"/>
  <c r="R20" i="1"/>
  <c r="Q20" i="1" a="1"/>
  <c r="Q20" i="1"/>
  <c r="P20" i="1" a="1"/>
  <c r="P20" i="1"/>
  <c r="N20" i="1" a="1"/>
  <c r="N20" i="1"/>
  <c r="M20" i="1" a="1"/>
  <c r="M20" i="1"/>
  <c r="L20" i="1" a="1"/>
  <c r="L20" i="1"/>
  <c r="K20" i="1" a="1"/>
  <c r="K20" i="1"/>
  <c r="J20" i="1" a="1"/>
  <c r="J20" i="1"/>
  <c r="I20" i="1" a="1"/>
  <c r="I20" i="1"/>
  <c r="H20" i="1" a="1"/>
  <c r="H20" i="1"/>
  <c r="G20" i="1" a="1"/>
  <c r="G20" i="1"/>
  <c r="F20" i="1" a="1"/>
  <c r="F20" i="1"/>
  <c r="C20" i="1" a="1"/>
  <c r="C20" i="1"/>
  <c r="B20" i="1" a="1"/>
  <c r="B20" i="1"/>
  <c r="D20" i="1" a="1"/>
  <c r="D20" i="1"/>
  <c r="A21" i="1" a="1"/>
  <c r="A21" i="1"/>
  <c r="E20" i="1"/>
  <c r="Z17" i="1"/>
  <c r="Y17" i="1"/>
  <c r="O17" i="1"/>
  <c r="X16" i="1" a="1"/>
  <c r="X16" i="1"/>
  <c r="W16" i="1" a="1"/>
  <c r="W16" i="1"/>
  <c r="V16" i="1" a="1"/>
  <c r="V16" i="1"/>
  <c r="U16" i="1" a="1"/>
  <c r="U16" i="1"/>
  <c r="T16" i="1" a="1"/>
  <c r="T16" i="1"/>
  <c r="S16" i="1" a="1"/>
  <c r="S16" i="1"/>
  <c r="R16" i="1" a="1"/>
  <c r="R16" i="1"/>
  <c r="Q16" i="1" a="1"/>
  <c r="Q16" i="1"/>
  <c r="P16" i="1" a="1"/>
  <c r="P16" i="1"/>
  <c r="N16" i="1" a="1"/>
  <c r="N16" i="1"/>
  <c r="M16" i="1" a="1"/>
  <c r="M16" i="1"/>
  <c r="L16" i="1" a="1"/>
  <c r="L16" i="1"/>
  <c r="K16" i="1" a="1"/>
  <c r="K16" i="1"/>
  <c r="J16" i="1" a="1"/>
  <c r="J16" i="1"/>
  <c r="I16" i="1" a="1"/>
  <c r="I16" i="1"/>
  <c r="H16" i="1" a="1"/>
  <c r="H16" i="1"/>
  <c r="G16" i="1" a="1"/>
  <c r="G16" i="1"/>
  <c r="F16" i="1" a="1"/>
  <c r="F16" i="1"/>
  <c r="C16" i="1" a="1"/>
  <c r="C16" i="1"/>
  <c r="D16" i="1" a="1"/>
  <c r="D16" i="1"/>
  <c r="A17" i="1" a="1"/>
  <c r="A17" i="1"/>
  <c r="E16" i="1"/>
  <c r="Z13" i="1"/>
  <c r="Y13" i="1"/>
  <c r="O13" i="1"/>
  <c r="X12" i="1" a="1"/>
  <c r="X12" i="1"/>
  <c r="W12" i="1" a="1"/>
  <c r="W12" i="1"/>
  <c r="V12" i="1" a="1"/>
  <c r="V12" i="1"/>
  <c r="U12" i="1" a="1"/>
  <c r="U12" i="1"/>
  <c r="T12" i="1" a="1"/>
  <c r="T12" i="1"/>
  <c r="S12" i="1" a="1"/>
  <c r="S12" i="1"/>
  <c r="R12" i="1" a="1"/>
  <c r="R12" i="1"/>
  <c r="Q12" i="1" a="1"/>
  <c r="Q12" i="1"/>
  <c r="P12" i="1" a="1"/>
  <c r="P12" i="1"/>
  <c r="N12" i="1" a="1"/>
  <c r="N12" i="1"/>
  <c r="M12" i="1" a="1"/>
  <c r="M12" i="1"/>
  <c r="L12" i="1" a="1"/>
  <c r="L12" i="1"/>
  <c r="K12" i="1" a="1"/>
  <c r="K12" i="1"/>
  <c r="J12" i="1" a="1"/>
  <c r="J12" i="1"/>
  <c r="I12" i="1" a="1"/>
  <c r="I12" i="1"/>
  <c r="H12" i="1" a="1"/>
  <c r="H12" i="1"/>
  <c r="G12" i="1" a="1"/>
  <c r="G12" i="1"/>
  <c r="F12" i="1" a="1"/>
  <c r="F12" i="1"/>
  <c r="C12" i="1" a="1"/>
  <c r="C12" i="1"/>
  <c r="B12" i="1" a="1"/>
  <c r="B12" i="1"/>
  <c r="D12" i="1" a="1"/>
  <c r="D12" i="1"/>
  <c r="A13" i="1" a="1"/>
  <c r="A13" i="1"/>
  <c r="E12" i="1"/>
  <c r="Z9" i="1"/>
  <c r="O9" i="1"/>
  <c r="X8" i="1" a="1"/>
  <c r="X8" i="1"/>
  <c r="W8" i="1" a="1"/>
  <c r="W8" i="1"/>
  <c r="V8" i="1" a="1"/>
  <c r="V8" i="1"/>
  <c r="U8" i="1" a="1"/>
  <c r="U8" i="1"/>
  <c r="T8" i="1" a="1"/>
  <c r="T8" i="1"/>
  <c r="S8" i="1" a="1"/>
  <c r="S8" i="1"/>
  <c r="R8" i="1" a="1"/>
  <c r="R8" i="1"/>
  <c r="Q8" i="1" a="1"/>
  <c r="Q8" i="1"/>
  <c r="P8" i="1" a="1"/>
  <c r="P8" i="1"/>
  <c r="N8" i="1" a="1"/>
  <c r="N8" i="1"/>
  <c r="M8" i="1" a="1"/>
  <c r="M8" i="1"/>
  <c r="L8" i="1" a="1"/>
  <c r="L8" i="1"/>
  <c r="K8" i="1" a="1"/>
  <c r="K8" i="1"/>
  <c r="J8" i="1" a="1"/>
  <c r="J8" i="1"/>
  <c r="I8" i="1" a="1"/>
  <c r="I8" i="1"/>
  <c r="H8" i="1" a="1"/>
  <c r="H8" i="1"/>
  <c r="G8" i="1" a="1"/>
  <c r="G8" i="1"/>
  <c r="F8" i="1" a="1"/>
  <c r="F8" i="1"/>
  <c r="C8" i="1" a="1"/>
  <c r="C8" i="1"/>
  <c r="B8" i="1" a="1"/>
  <c r="B8" i="1"/>
  <c r="D8" i="1" a="1"/>
  <c r="D8" i="1"/>
  <c r="A9" i="1" a="1"/>
  <c r="A9" i="1"/>
  <c r="E8" i="1"/>
  <c r="X4" i="1" a="1"/>
  <c r="X4" i="1"/>
  <c r="W4" i="1" a="1"/>
  <c r="W4" i="1"/>
  <c r="V4" i="1" a="1"/>
  <c r="V4" i="1"/>
  <c r="U4" i="1" a="1"/>
  <c r="U4" i="1"/>
  <c r="T4" i="1" a="1"/>
  <c r="T4" i="1"/>
  <c r="S4" i="1" a="1"/>
  <c r="S4" i="1"/>
  <c r="R4" i="1" a="1"/>
  <c r="R4" i="1"/>
  <c r="Q4" i="1" a="1"/>
  <c r="Q4" i="1"/>
  <c r="P4" i="1" a="1"/>
  <c r="P4" i="1"/>
  <c r="C4" i="1" a="1"/>
  <c r="C4" i="1"/>
  <c r="B4" i="1" a="1"/>
  <c r="B4" i="1"/>
  <c r="D4" i="1" a="1"/>
  <c r="D4" i="1"/>
  <c r="A31" i="1" a="1"/>
  <c r="A31" i="1"/>
  <c r="A30" i="1" a="1"/>
  <c r="A30" i="1"/>
  <c r="A28" i="1" a="1"/>
  <c r="A28" i="1"/>
  <c r="A27" i="1" a="1"/>
  <c r="A27" i="1"/>
  <c r="A26" i="1" a="1"/>
  <c r="A26" i="1"/>
  <c r="A24" i="1" a="1"/>
  <c r="A24" i="1"/>
  <c r="A23" i="1" a="1"/>
  <c r="A23" i="1"/>
  <c r="A22" i="1" a="1"/>
  <c r="A22" i="1"/>
  <c r="A20" i="1" a="1"/>
  <c r="A20" i="1"/>
  <c r="A19" i="1" a="1"/>
  <c r="A19" i="1"/>
  <c r="A18" i="1" a="1"/>
  <c r="A18" i="1"/>
  <c r="A16" i="1" a="1"/>
  <c r="A16" i="1"/>
  <c r="A15" i="1" a="1"/>
  <c r="A15" i="1"/>
  <c r="A14" i="1" a="1"/>
  <c r="A14" i="1"/>
  <c r="A12" i="1" a="1"/>
  <c r="A12" i="1"/>
  <c r="N4" i="1" a="1"/>
  <c r="N4" i="1"/>
  <c r="M4" i="1" a="1"/>
  <c r="M4" i="1"/>
  <c r="L4" i="1" a="1"/>
  <c r="L4" i="1"/>
  <c r="K4" i="1" a="1"/>
  <c r="K4" i="1"/>
  <c r="J4" i="1" a="1"/>
  <c r="J4" i="1"/>
  <c r="I4" i="1" a="1"/>
  <c r="I4" i="1"/>
  <c r="H4" i="1" a="1"/>
  <c r="H4" i="1"/>
  <c r="G4" i="1" a="1"/>
  <c r="G4" i="1"/>
  <c r="F4" i="1" a="1"/>
  <c r="F4" i="1"/>
  <c r="A11" i="1" a="1"/>
  <c r="A11" i="1"/>
  <c r="A10" i="1" a="1"/>
  <c r="A10" i="1"/>
  <c r="A8" i="1" a="1"/>
  <c r="A8" i="1"/>
  <c r="A7" i="1" a="1"/>
  <c r="A7" i="1"/>
  <c r="A6" i="1" a="1"/>
  <c r="A6" i="1"/>
  <c r="A5" i="1" a="1"/>
  <c r="A5" i="1"/>
  <c r="A4" i="1" a="1"/>
  <c r="A4" i="1"/>
  <c r="Z5" i="1"/>
  <c r="Y5" i="1"/>
  <c r="O5" i="1"/>
  <c r="X3" i="1" a="1"/>
  <c r="X3" i="1"/>
  <c r="W3" i="1" a="1"/>
  <c r="W3" i="1"/>
  <c r="V3" i="1" a="1"/>
  <c r="V3" i="1"/>
  <c r="U3" i="1" a="1"/>
  <c r="U3" i="1"/>
  <c r="T3" i="1" a="1"/>
  <c r="T3" i="1"/>
  <c r="S3" i="1" a="1"/>
  <c r="S3" i="1"/>
  <c r="R3" i="1" a="1"/>
  <c r="R3" i="1"/>
  <c r="Q3" i="1" a="1"/>
  <c r="Q3" i="1"/>
  <c r="P3" i="1" a="1"/>
  <c r="P3" i="1"/>
  <c r="N3" i="1" a="1"/>
  <c r="N3" i="1"/>
  <c r="M3" i="1" a="1"/>
  <c r="M3" i="1"/>
  <c r="L3" i="1" a="1"/>
  <c r="L3" i="1"/>
  <c r="K3" i="1" a="1"/>
  <c r="K3" i="1"/>
  <c r="J3" i="1" a="1"/>
  <c r="J3" i="1"/>
  <c r="I3" i="1" a="1"/>
  <c r="I3" i="1"/>
  <c r="H3" i="1" a="1"/>
  <c r="H3" i="1"/>
  <c r="G3" i="1" a="1"/>
  <c r="G3" i="1"/>
  <c r="F3" i="1" a="1"/>
  <c r="F3" i="1"/>
  <c r="W30" i="1"/>
  <c r="W31" i="1"/>
  <c r="G30" i="1"/>
  <c r="G31" i="1"/>
  <c r="V30" i="1"/>
  <c r="V31" i="1"/>
  <c r="N30" i="1"/>
  <c r="N31" i="1"/>
  <c r="F30" i="1"/>
  <c r="P30" i="1"/>
  <c r="U30" i="1"/>
  <c r="U31" i="1"/>
  <c r="M30" i="1"/>
  <c r="M31" i="1"/>
  <c r="H30" i="1"/>
  <c r="H31" i="1"/>
  <c r="T30" i="1"/>
  <c r="T31" i="1"/>
  <c r="L30" i="1"/>
  <c r="L31" i="1"/>
  <c r="S30" i="1"/>
  <c r="S31" i="1"/>
  <c r="K30" i="1"/>
  <c r="K31" i="1"/>
  <c r="R30" i="1"/>
  <c r="R31" i="1"/>
  <c r="J30" i="1"/>
  <c r="J31" i="1"/>
  <c r="Q30" i="1"/>
  <c r="Q31" i="1"/>
  <c r="I30" i="1"/>
  <c r="I31" i="1"/>
  <c r="X30" i="1"/>
  <c r="X31" i="1"/>
  <c r="W26" i="1"/>
  <c r="W27" i="1"/>
  <c r="G26" i="1"/>
  <c r="G27" i="1"/>
  <c r="P26" i="1"/>
  <c r="V26" i="1"/>
  <c r="V27" i="1"/>
  <c r="N26" i="1"/>
  <c r="N27" i="1"/>
  <c r="F26" i="1"/>
  <c r="X26" i="1"/>
  <c r="X27" i="1"/>
  <c r="U26" i="1"/>
  <c r="U27" i="1"/>
  <c r="M26" i="1"/>
  <c r="M27" i="1"/>
  <c r="H26" i="1"/>
  <c r="H27" i="1"/>
  <c r="T26" i="1"/>
  <c r="T27" i="1"/>
  <c r="L26" i="1"/>
  <c r="L27" i="1"/>
  <c r="S26" i="1"/>
  <c r="S27" i="1"/>
  <c r="K26" i="1"/>
  <c r="K27" i="1"/>
  <c r="R26" i="1"/>
  <c r="R27" i="1"/>
  <c r="J26" i="1"/>
  <c r="J27" i="1"/>
  <c r="Q26" i="1"/>
  <c r="Q27" i="1"/>
  <c r="I26" i="1"/>
  <c r="I27" i="1"/>
  <c r="W22" i="1"/>
  <c r="W23" i="1"/>
  <c r="G22" i="1"/>
  <c r="G23" i="1"/>
  <c r="H22" i="1"/>
  <c r="H23" i="1"/>
  <c r="V22" i="1"/>
  <c r="V23" i="1"/>
  <c r="N22" i="1"/>
  <c r="N23" i="1"/>
  <c r="F22" i="1"/>
  <c r="P22" i="1"/>
  <c r="U22" i="1"/>
  <c r="U23" i="1"/>
  <c r="M22" i="1"/>
  <c r="M23" i="1"/>
  <c r="T22" i="1"/>
  <c r="T23" i="1"/>
  <c r="L22" i="1"/>
  <c r="L23" i="1"/>
  <c r="X22" i="1"/>
  <c r="X23" i="1"/>
  <c r="S22" i="1"/>
  <c r="S23" i="1"/>
  <c r="K22" i="1"/>
  <c r="K23" i="1"/>
  <c r="R22" i="1"/>
  <c r="R23" i="1"/>
  <c r="J22" i="1"/>
  <c r="J23" i="1"/>
  <c r="Q22" i="1"/>
  <c r="Q23" i="1"/>
  <c r="I22" i="1"/>
  <c r="I23" i="1"/>
  <c r="W18" i="1"/>
  <c r="W19" i="1"/>
  <c r="G18" i="1"/>
  <c r="G19" i="1"/>
  <c r="X18" i="1"/>
  <c r="X19" i="1"/>
  <c r="V18" i="1"/>
  <c r="V19" i="1"/>
  <c r="N18" i="1"/>
  <c r="N19" i="1"/>
  <c r="F18" i="1"/>
  <c r="U18" i="1"/>
  <c r="U19" i="1"/>
  <c r="M18" i="1"/>
  <c r="M19" i="1"/>
  <c r="T18" i="1"/>
  <c r="T19" i="1"/>
  <c r="L18" i="1"/>
  <c r="L19" i="1"/>
  <c r="S18" i="1"/>
  <c r="S19" i="1"/>
  <c r="K18" i="1"/>
  <c r="K19" i="1"/>
  <c r="H18" i="1"/>
  <c r="H19" i="1"/>
  <c r="R18" i="1"/>
  <c r="R19" i="1"/>
  <c r="J18" i="1"/>
  <c r="J19" i="1"/>
  <c r="P18" i="1"/>
  <c r="Q18" i="1"/>
  <c r="Q19" i="1"/>
  <c r="I18" i="1"/>
  <c r="I19" i="1"/>
  <c r="W14" i="1"/>
  <c r="W15" i="1"/>
  <c r="G14" i="1"/>
  <c r="G15" i="1"/>
  <c r="V14" i="1"/>
  <c r="V15" i="1"/>
  <c r="N14" i="1"/>
  <c r="N15" i="1"/>
  <c r="F14" i="1"/>
  <c r="P14" i="1"/>
  <c r="U14" i="1"/>
  <c r="U15" i="1"/>
  <c r="M14" i="1"/>
  <c r="M15" i="1"/>
  <c r="X14" i="1"/>
  <c r="X15" i="1"/>
  <c r="T14" i="1"/>
  <c r="T15" i="1"/>
  <c r="L14" i="1"/>
  <c r="L15" i="1"/>
  <c r="S14" i="1"/>
  <c r="S15" i="1"/>
  <c r="K14" i="1"/>
  <c r="K15" i="1"/>
  <c r="H14" i="1"/>
  <c r="H15" i="1"/>
  <c r="R14" i="1"/>
  <c r="R15" i="1"/>
  <c r="J14" i="1"/>
  <c r="J15" i="1"/>
  <c r="Q14" i="1"/>
  <c r="Q15" i="1"/>
  <c r="I14" i="1"/>
  <c r="I15" i="1"/>
  <c r="W10" i="1"/>
  <c r="W11" i="1"/>
  <c r="G10" i="1"/>
  <c r="G11" i="1"/>
  <c r="V10" i="1"/>
  <c r="V11" i="1"/>
  <c r="N10" i="1"/>
  <c r="N11" i="1"/>
  <c r="F10" i="1"/>
  <c r="U10" i="1"/>
  <c r="U11" i="1"/>
  <c r="M10" i="1"/>
  <c r="M11" i="1"/>
  <c r="T10" i="1"/>
  <c r="T11" i="1"/>
  <c r="L10" i="1"/>
  <c r="L11" i="1"/>
  <c r="X10" i="1"/>
  <c r="X11" i="1"/>
  <c r="S10" i="1"/>
  <c r="S11" i="1"/>
  <c r="K10" i="1"/>
  <c r="K11" i="1"/>
  <c r="P10" i="1"/>
  <c r="H10" i="1"/>
  <c r="H11" i="1"/>
  <c r="R10" i="1"/>
  <c r="R11" i="1"/>
  <c r="J10" i="1"/>
  <c r="J11" i="1"/>
  <c r="Q10" i="1"/>
  <c r="Q11" i="1"/>
  <c r="I10" i="1"/>
  <c r="I11" i="1"/>
  <c r="Z3" i="1"/>
  <c r="O3" i="1"/>
  <c r="Y3" i="1"/>
  <c r="E4" i="1"/>
  <c r="P31" i="1"/>
  <c r="Y31" i="1"/>
  <c r="Y30" i="1"/>
  <c r="O30" i="1"/>
  <c r="F31" i="1"/>
  <c r="Z30" i="1"/>
  <c r="O26" i="1"/>
  <c r="F27" i="1"/>
  <c r="Z26" i="1"/>
  <c r="P27" i="1"/>
  <c r="Y27" i="1"/>
  <c r="Y26" i="1"/>
  <c r="P23" i="1"/>
  <c r="Y23" i="1"/>
  <c r="Y22" i="1"/>
  <c r="O22" i="1"/>
  <c r="F23" i="1"/>
  <c r="Z22" i="1"/>
  <c r="P19" i="1"/>
  <c r="Y19" i="1"/>
  <c r="Y18" i="1"/>
  <c r="O18" i="1"/>
  <c r="F19" i="1"/>
  <c r="Z18" i="1"/>
  <c r="P15" i="1"/>
  <c r="Y15" i="1"/>
  <c r="Y14" i="1"/>
  <c r="O14" i="1"/>
  <c r="F15" i="1"/>
  <c r="Z14" i="1"/>
  <c r="O10" i="1"/>
  <c r="F11" i="1"/>
  <c r="Z10" i="1"/>
  <c r="P11" i="1"/>
  <c r="Y10" i="1"/>
  <c r="T6" i="1"/>
  <c r="K6" i="1"/>
  <c r="J6" i="1"/>
  <c r="S6" i="1"/>
  <c r="I6" i="1"/>
  <c r="R6" i="1"/>
  <c r="H6" i="1"/>
  <c r="Q6" i="1"/>
  <c r="G6" i="1"/>
  <c r="X6" i="1"/>
  <c r="P6" i="1"/>
  <c r="F6" i="1"/>
  <c r="W6" i="1"/>
  <c r="N6" i="1"/>
  <c r="V6" i="1"/>
  <c r="M6" i="1"/>
  <c r="U6" i="1"/>
  <c r="L6" i="1"/>
  <c r="Y11" i="1"/>
  <c r="Z31" i="1"/>
  <c r="O31" i="1"/>
  <c r="Z27" i="1"/>
  <c r="O27" i="1"/>
  <c r="Z23" i="1"/>
  <c r="O23" i="1"/>
  <c r="Z19" i="1"/>
  <c r="O19" i="1"/>
  <c r="Z15" i="1"/>
  <c r="O15" i="1"/>
  <c r="Z11" i="1"/>
  <c r="O11" i="1"/>
  <c r="P7" i="1"/>
  <c r="R7" i="1"/>
  <c r="W7" i="1"/>
  <c r="S7" i="1"/>
  <c r="X7" i="1"/>
  <c r="V7" i="1"/>
  <c r="U7" i="1"/>
  <c r="T7" i="1"/>
  <c r="H7" i="1"/>
  <c r="N7" i="1"/>
  <c r="I7" i="1"/>
  <c r="L7" i="1"/>
  <c r="K7" i="1"/>
  <c r="M7" i="1"/>
  <c r="J7" i="1"/>
  <c r="G7" i="1"/>
  <c r="Y6" i="1"/>
  <c r="Q7" i="1"/>
  <c r="F7" i="1"/>
  <c r="Z6" i="1"/>
  <c r="O6" i="1"/>
  <c r="Y7" i="1"/>
  <c r="Z7" i="1"/>
  <c r="O7" i="1"/>
  <c r="H2" i="4" a="1"/>
  <c r="H2" i="4"/>
  <c r="B2" i="4" a="1"/>
  <c r="B2" i="4"/>
  <c r="N2" i="4" a="1"/>
  <c r="N2" i="4"/>
  <c r="H9" i="2"/>
  <c r="G9" i="2"/>
  <c r="K21" i="3"/>
  <c r="I21" i="3"/>
  <c r="L21" i="3"/>
  <c r="J21" i="3"/>
  <c r="I9" i="2"/>
  <c r="B13" i="3"/>
  <c r="P4" i="4"/>
  <c r="P5" i="4"/>
  <c r="P10" i="4"/>
  <c r="R10" i="4"/>
  <c r="P2" i="4"/>
  <c r="P3" i="4"/>
  <c r="P9" i="4"/>
  <c r="P7" i="4"/>
  <c r="P8" i="4"/>
  <c r="P6" i="4"/>
  <c r="J5" i="4"/>
  <c r="J7" i="4"/>
  <c r="J11" i="4"/>
  <c r="J2" i="4"/>
  <c r="J6" i="4"/>
  <c r="J8" i="4"/>
  <c r="J10" i="4"/>
  <c r="J9" i="4"/>
  <c r="J3" i="4"/>
  <c r="J4" i="4"/>
  <c r="D10" i="4"/>
  <c r="D2" i="4"/>
  <c r="D4" i="4"/>
  <c r="D7" i="4"/>
  <c r="D6" i="4"/>
  <c r="D9" i="4"/>
  <c r="D11" i="4"/>
  <c r="D3" i="4"/>
  <c r="D5" i="4"/>
  <c r="D8" i="4"/>
  <c r="R9" i="4"/>
  <c r="Q8" i="4"/>
  <c r="R7" i="4"/>
  <c r="Q3" i="4"/>
  <c r="Q6" i="4"/>
  <c r="R6" i="4"/>
  <c r="Q2" i="4"/>
  <c r="R2" i="4"/>
  <c r="R4" i="4"/>
  <c r="Q5" i="4"/>
  <c r="Q4" i="4"/>
  <c r="R5" i="4"/>
  <c r="R3" i="4"/>
  <c r="R8" i="4"/>
  <c r="Q7" i="4"/>
  <c r="F11" i="4"/>
  <c r="E4" i="4"/>
  <c r="F4" i="4"/>
  <c r="L10" i="4"/>
  <c r="K10" i="4"/>
  <c r="F8" i="4"/>
  <c r="E8" i="4"/>
  <c r="F2" i="4"/>
  <c r="E2" i="4"/>
  <c r="K8" i="4"/>
  <c r="L8" i="4"/>
  <c r="Q10" i="4"/>
  <c r="F3" i="4"/>
  <c r="E3" i="4"/>
  <c r="L2" i="4"/>
  <c r="K2" i="4"/>
  <c r="E10" i="4"/>
  <c r="F10" i="4"/>
  <c r="L6" i="4"/>
  <c r="K6" i="4"/>
  <c r="L11" i="4"/>
  <c r="K11" i="4"/>
  <c r="E7" i="4"/>
  <c r="F7" i="4"/>
  <c r="L9" i="4"/>
  <c r="K9" i="4"/>
  <c r="E5" i="4"/>
  <c r="F5" i="4"/>
  <c r="F9" i="4"/>
  <c r="E9" i="4"/>
  <c r="K4" i="4"/>
  <c r="L4" i="4"/>
  <c r="L7" i="4"/>
  <c r="K7" i="4"/>
  <c r="Q9" i="4"/>
  <c r="F6" i="4"/>
  <c r="E6" i="4"/>
  <c r="L3" i="4"/>
  <c r="K3" i="4"/>
  <c r="K5" i="4"/>
  <c r="L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<sst xmlns="http://schemas.openxmlformats.org/spreadsheetml/2006/main" count="90" uniqueCount="54">
  <si>
    <t>Index</t>
  </si>
  <si>
    <t>Curt Balcerzak</t>
  </si>
  <si>
    <t>John Allen</t>
  </si>
  <si>
    <t>Jerry Ohu</t>
  </si>
  <si>
    <t>Ken Moon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</si>
  <si>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</si>
  <si>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</si>
  <si>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</si>
  <si>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</si>
  <si>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</si>
  <si>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</si>
  <si>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</si>
  <si>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</si>
  <si>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</si>
  <si>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</si>
  <si>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</si>
  <si>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</si>
  <si>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</si>
  <si>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Allowance</t>
  </si>
  <si>
    <t>Women's Tee</t>
  </si>
  <si>
    <t>HCP</t>
  </si>
  <si>
    <t>Payouts</t>
  </si>
  <si>
    <t>Kitty</t>
  </si>
  <si>
    <t>Amount</t>
  </si>
  <si>
    <t>Golf Paid</t>
  </si>
  <si>
    <t>Cart Paid</t>
  </si>
  <si>
    <t>Y</t>
  </si>
  <si>
    <t>White</t>
  </si>
  <si>
    <t>Men's</t>
  </si>
  <si>
    <t>Women's</t>
  </si>
  <si>
    <t>Holes</t>
  </si>
  <si>
    <t>Handicap</t>
  </si>
  <si>
    <t>Par</t>
  </si>
  <si>
    <t>Total</t>
  </si>
  <si>
    <t>Tee</t>
  </si>
  <si>
    <t>Front</t>
  </si>
  <si>
    <t>Back</t>
  </si>
  <si>
    <t>Max Index Allowed</t>
  </si>
  <si>
    <t>Front 9</t>
  </si>
  <si>
    <t>Overall Place</t>
  </si>
  <si>
    <t>Front 9 Place</t>
  </si>
  <si>
    <t>Back 9 Place</t>
  </si>
  <si>
    <t>Back 9</t>
  </si>
  <si>
    <t>Overall</t>
  </si>
  <si>
    <t>2022 Eisenhower Silver July Nassau</t>
  </si>
  <si>
    <t>Green</t>
  </si>
  <si>
    <t>Yellow</t>
  </si>
  <si>
    <t>Teal</t>
  </si>
  <si>
    <t>Jordan Moon</t>
  </si>
  <si>
    <t>Marcus Fast</t>
  </si>
  <si>
    <t>Rob Franco</t>
  </si>
  <si>
    <t>Nassau Entry</t>
  </si>
  <si>
    <t>F</t>
  </si>
  <si>
    <t>USAFA Eisenhower Silver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</si>
</sst>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6">
    <xf numFmtId="0" fontId="0" fillId="0" borderId="0" xfId="0"/>
    <xf numFmtId="9" fontId="0" fillId="0" borderId="0" xfId="0" applyNumberFormat="1"/>
    <xf numFmtId="0" fontId="1" fillId="0" borderId="0" xfId="0" applyFont="1"/>
    <xf numFmtId="9" fontId="1" fillId="0" borderId="0" xfId="0" applyNumberFormat="1" applyFont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6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44" fontId="0" fillId="0" borderId="0" xfId="1" applyFont="1"/>
    <xf numFmtId="44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left"/>
    </xf>
    <xf numFmtId="10" fontId="0" fillId="0" borderId="0" xfId="0" applyNumberFormat="1"/>
  </cellXfs>
  <cellStyles count="2">
    <cellStyle name="Currency" xfId="1" builtinId="4"/>
    <cellStyle name="Normal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Z115"/>
  <sheetViews>
    <sheetView tabSelected="1" topLeftCell="Q1" zoomScaleNormal="100" workbookViewId="0">
      <selection activeCell="Y9" sqref="Y9"/>
    </sheetView>
  </sheetViews>
  <sheetFormatPr defaultRowHeight="15" x14ac:dyDescent="0.2"/>
  <cols>
    <col min="1" max="1" width="29.45703125" customWidth="1"/>
    <col min="2" max="2" width="6.3203125" customWidth="1"/>
    <col min="3" max="3" width="7.12890625" bestFit="1" customWidth="1"/>
    <col min="4" max="4" width="5.6484375" customWidth="1"/>
    <col min="5" max="5" width="10.625" bestFit="1" customWidth="1"/>
    <col min="6" max="24" width="5.6484375" customWidth="1"/>
    <col min="25" max="25" width="4.9765625" bestFit="1" customWidth="1"/>
    <col min="26" max="26" width="5.6484375" bestFit="1" customWidth="1"/>
  </cols>
  <sheetData>
    <row r="1" spans="1:26" x14ac:dyDescent="0.2">
      <c r="A1" s="2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6" t="s">
        <v>35</v>
      </c>
      <c r="P1" s="2"/>
      <c r="Q1" s="2"/>
      <c r="R1" s="2"/>
      <c r="S1" s="2"/>
      <c r="T1" s="2"/>
      <c r="U1" s="2"/>
      <c r="V1" s="2"/>
      <c r="Y1" t="s">
        <v>36</v>
      </c>
      <c r="Z1" t="s">
        <v>33</v>
      </c>
    </row>
    <row r="2" spans="1:26" x14ac:dyDescent="0.2">
      <c r="A2" s="2"/>
      <c r="B2" s="2"/>
      <c r="C2" s="2"/>
      <c r="D2" s="4" t="s">
        <v>7</v>
      </c>
      <c r="E2" s="2"/>
      <c r="F2" s="5">
        <v>1</v>
      </c>
      <c r="G2" s="5">
        <v>2</v>
      </c>
      <c r="H2" s="5">
        <v>3</v>
      </c>
      <c r="I2" s="5">
        <v>4</v>
      </c>
      <c r="J2" s="5">
        <v>5</v>
      </c>
      <c r="K2" s="5">
        <v>6</v>
      </c>
      <c r="L2" s="5">
        <v>7</v>
      </c>
      <c r="M2" s="5">
        <v>8</v>
      </c>
      <c r="N2" s="5">
        <v>9</v>
      </c>
      <c r="O2" s="5"/>
      <c r="P2" s="5">
        <v>10</v>
      </c>
      <c r="Q2" s="5">
        <v>11</v>
      </c>
      <c r="R2" s="5">
        <v>12</v>
      </c>
      <c r="S2" s="5">
        <v>13</v>
      </c>
      <c r="T2" s="5">
        <v>14</v>
      </c>
      <c r="U2" s="5">
        <v>15</v>
      </c>
      <c r="V2" s="5">
        <v>16</v>
      </c>
      <c r="W2" s="5">
        <v>17</v>
      </c>
      <c r="X2" s="5">
        <v>18</v>
      </c>
    </row>
    <row r="3" spans="1:26" x14ac:dyDescent="0.2">
      <c r="A3" s="2"/>
      <c r="B3" s="2" t="s">
        <v>34</v>
      </c>
      <c r="C3" s="2" t="s">
        <v>0</v>
      </c>
      <c r="D3" s="3" t="s">
        <v>20</v>
      </c>
      <c r="E3" s="4" t="s">
        <v>18</v>
      </c>
      <c r="F3" s="6" cm="1">
        <f t="array" ref="F3">INDEX(HoleParM,F2,0)</f>
        <v>4</v>
      </c>
      <c r="G3" s="6" cm="1">
        <f t="array" ref="G3">INDEX(HoleParM,G2,0)</f>
        <v>4</v>
      </c>
      <c r="H3" s="6" cm="1">
        <f t="array" ref="H3">INDEX(HoleParM,H2,0)</f>
        <v>3</v>
      </c>
      <c r="I3" s="6" cm="1">
        <f t="array" ref="I3">INDEX(HoleParM,I2,0)</f>
        <v>5</v>
      </c>
      <c r="J3" s="6" cm="1">
        <f t="array" ref="J3">INDEX(HoleParM,J2,0)</f>
        <v>4</v>
      </c>
      <c r="K3" s="6" cm="1">
        <f t="array" ref="K3">INDEX(HoleParM,K2,0)</f>
        <v>4</v>
      </c>
      <c r="L3" s="6" cm="1">
        <f t="array" ref="L3">INDEX(HoleParM,L2,0)</f>
        <v>5</v>
      </c>
      <c r="M3" s="6" cm="1">
        <f t="array" ref="M3">INDEX(HoleParM,M2,0)</f>
        <v>3</v>
      </c>
      <c r="N3" s="6" cm="1">
        <f t="array" ref="N3">INDEX(HoleParM,N2,0)</f>
        <v>4</v>
      </c>
      <c r="O3" s="7">
        <f>IF(SUM(F3:N3)&gt;0,SUM(F3:N3),"")</f>
        <v>36</v>
      </c>
      <c r="P3" s="6" cm="1">
        <f t="array" ref="P3">INDEX(HoleParM,P2,0)</f>
        <v>4</v>
      </c>
      <c r="Q3" s="6" cm="1">
        <f t="array" ref="Q3">INDEX(HoleParM,Q2,0)</f>
        <v>4</v>
      </c>
      <c r="R3" s="6" cm="1">
        <f t="array" ref="R3">INDEX(HoleParM,R2,0)</f>
        <v>5</v>
      </c>
      <c r="S3" s="6" cm="1">
        <f t="array" ref="S3">INDEX(HoleParM,S2,0)</f>
        <v>3</v>
      </c>
      <c r="T3" s="6" cm="1">
        <f t="array" ref="T3">INDEX(HoleParM,T2,0)</f>
        <v>4</v>
      </c>
      <c r="U3" s="6" cm="1">
        <f t="array" ref="U3">INDEX(HoleParM,U2,0)</f>
        <v>4</v>
      </c>
      <c r="V3" s="6" cm="1">
        <f t="array" ref="V3">INDEX(HoleParM,V2,0)</f>
        <v>4</v>
      </c>
      <c r="W3" s="6" cm="1">
        <f t="array" ref="W3">INDEX(HoleParM,W2,0)</f>
        <v>3</v>
      </c>
      <c r="X3" s="6" cm="1">
        <f t="array" ref="X3">INDEX(HoleParM,X2,0)</f>
        <v>5</v>
      </c>
      <c r="Y3" s="7">
        <f>IF(SUM(P3:X3)&gt;0,SUM(P3:X3),"")</f>
        <v>36</v>
      </c>
      <c r="Z3" s="7">
        <f>IF((SUM(F3:N3)+SUM(P3:X3))&gt;0,SUM(F3:N3)+SUM(P3:X3),"")</f>
        <v>72</v>
      </c>
    </row>
    <row r="4" spans="1:26" x14ac:dyDescent="0.2">
      <c r="A4" s="2" t="str" cm="1">
        <f t="array" ref="A4">INDEX(PlayerNames,SUMPRODUCT((PlayerPlayerNo=(ROUNDUP((ROW()-3.5)/4,0)))*ROW(PlayerNames))-1)</f>
        <v>John Allen</v>
      </c>
      <c r="B4" s="2" t="str" cm="1">
        <f t="array" ref="B4">INDEX(PlayerTees,SUMPRODUCT((PlayerPlayerNo=(ROUNDUP((ROW()-3.5)/4,0)))*ROW(PlayerNames))-1)</f>
        <v>White</v>
      </c>
      <c r="C4" s="2" cm="1">
        <f t="array" ref="C4">IF(MaxIndex &gt; 0,MIN(INDEX(PlayerHandicaps,SUMPRODUCT((PlayerPlayerNo=(ROUNDUP((ROW()-3.5)/4,0)))*ROW(PlayerHandicaps))-1),MaxIndex),INDEX(PlayerHandicaps,SUMPRODUCT((PlayerPlayerNo=(ROUNDUP((ROW()-3.5)/4,0)))*ROW(PlayerHandicaps))-1))</f>
        <v>28.7</v>
      </c>
      <c r="D4" s="2" cm="1">
        <f t="array" ref="D4">IF(C4="","",IF(C4=0,0,IF(INDEX(PlayerGender,SUMPRODUCT((PlayerPlayerNo=(ROUNDUP((ROW()-3.5)/4,0)))*ROW(PlayerGender))-1)="M",ROUND((C4*(HLOOKUP(B4,MensTees,2,FALSE)/113))+(HLOOKUP(B4,MensTees,3,FALSE)-HLOOKUP(B4,MensTees,4,FALSE)),0),ROUND((C4*(HLOOKUP(B4,WomenTees,2,FALSE)/113))+(HLOOKUP(B4,WomenTees,3,FALSE)-HLOOKUP(B4,WomenTees,4,FALSE)),0))))</f>
        <v>27</v>
      </c>
      <c r="E4" s="2">
        <f>IF(A5 = "Solo",D4,ROUND(D4*HandicapAllowance,0))</f>
        <v>27</v>
      </c>
      <c r="F4" s="6" cm="1">
        <f t="array" ref="F4">INDEX(HoleHandicapM,F$2,0)</f>
        <v>5</v>
      </c>
      <c r="G4" s="6" cm="1">
        <f t="array" ref="G4">INDEX(HoleHandicapM,G$2,0)</f>
        <v>17</v>
      </c>
      <c r="H4" s="6" cm="1">
        <f t="array" ref="H4">INDEX(HoleHandicapM,H$2,0)</f>
        <v>11</v>
      </c>
      <c r="I4" s="6" cm="1">
        <f t="array" ref="I4">INDEX(HoleHandicapM,I$2,0)</f>
        <v>3</v>
      </c>
      <c r="J4" s="6" cm="1">
        <f t="array" ref="J4">INDEX(HoleHandicapM,J$2,0)</f>
        <v>13</v>
      </c>
      <c r="K4" s="6" cm="1">
        <f t="array" ref="K4">INDEX(HoleHandicapM,K$2,0)</f>
        <v>15</v>
      </c>
      <c r="L4" s="6" cm="1">
        <f t="array" ref="L4">INDEX(HoleHandicapM,L$2,0)</f>
        <v>1</v>
      </c>
      <c r="M4" s="6" cm="1">
        <f t="array" ref="M4">INDEX(HoleHandicapM,M$2,0)</f>
        <v>9</v>
      </c>
      <c r="N4" s="6" cm="1">
        <f t="array" ref="N4">INDEX(HoleHandicapM,N$2,0)</f>
        <v>7</v>
      </c>
      <c r="P4" s="6" cm="1">
        <f t="array" ref="P4">INDEX(HoleHandicapM,P$2,0)</f>
        <v>12</v>
      </c>
      <c r="Q4" s="6" cm="1">
        <f t="array" ref="Q4">INDEX(HoleHandicapM,Q$2,0)</f>
        <v>6</v>
      </c>
      <c r="R4" s="6" cm="1">
        <f t="array" ref="R4">INDEX(HoleHandicapM,R$2,0)</f>
        <v>2</v>
      </c>
      <c r="S4" s="6" cm="1">
        <f t="array" ref="S4">INDEX(HoleHandicapM,S$2,0)</f>
        <v>8</v>
      </c>
      <c r="T4" s="6" cm="1">
        <f t="array" ref="T4">INDEX(HoleHandicapM,T$2,0)</f>
        <v>14</v>
      </c>
      <c r="U4" s="6" cm="1">
        <f t="array" ref="U4">INDEX(HoleHandicapM,U$2,0)</f>
        <v>16</v>
      </c>
      <c r="V4" s="6" cm="1">
        <f t="array" ref="V4">INDEX(HoleHandicapM,V$2,0)</f>
        <v>18</v>
      </c>
      <c r="W4" s="6" cm="1">
        <f t="array" ref="W4">INDEX(HoleHandicapM,W$2,0)</f>
        <v>10</v>
      </c>
      <c r="X4" s="6" cm="1">
        <f t="array" ref="X4">INDEX(HoleHandicapM,X$2,0)</f>
        <v>4</v>
      </c>
      <c r="Y4" s="6"/>
      <c r="Z4" s="2" t="s">
        <v>33</v>
      </c>
    </row>
    <row r="5" spans="1:26" x14ac:dyDescent="0.2">
      <c r="A5" s="2" t="str" cm="1">
        <f t="array" ref="A5">_xlfn.CONCAT(INDEX(PlayerNames,SUMPRODUCT((PlayerPlayerNo=(ROUNDUP((ROW()-3.5)/4,0)))*ROW(PlayerNames))-1)," Gross")</f>
        <v>John Allen Gross</v>
      </c>
      <c r="B5" s="2"/>
      <c r="C5" s="2"/>
      <c r="D5" s="2"/>
      <c r="E5" s="2"/>
      <c r="F5" s="2">
        <v>8</v>
      </c>
      <c r="G5" s="2">
        <v>5</v>
      </c>
      <c r="H5" s="2">
        <v>3</v>
      </c>
      <c r="I5" s="2">
        <v>6</v>
      </c>
      <c r="J5" s="2">
        <v>7</v>
      </c>
      <c r="K5" s="2">
        <v>4</v>
      </c>
      <c r="L5" s="2">
        <v>9</v>
      </c>
      <c r="M5" s="2">
        <v>6</v>
      </c>
      <c r="N5" s="2">
        <v>6</v>
      </c>
      <c r="O5" s="7">
        <f>IF(SUM(F5:N5)&gt;0,SUM(F5:N5),"")</f>
        <v>54</v>
      </c>
      <c r="P5" s="2">
        <v>5</v>
      </c>
      <c r="Q5" s="2">
        <v>7</v>
      </c>
      <c r="R5" s="2">
        <v>7</v>
      </c>
      <c r="S5" s="2">
        <v>4</v>
      </c>
      <c r="T5" s="2">
        <v>7</v>
      </c>
      <c r="U5" s="2">
        <v>5</v>
      </c>
      <c r="V5" s="2">
        <v>7</v>
      </c>
      <c r="W5" s="2">
        <v>5</v>
      </c>
      <c r="X5" s="2">
        <v>8</v>
      </c>
      <c r="Y5" s="7">
        <f>IF(SUM(P5:X5)&gt;0,SUM(P5:X5),"")</f>
        <v>55</v>
      </c>
      <c r="Z5" s="7">
        <f>IF((SUM(F5:N5)+SUM(P5:X5))&gt;0,SUM(F5:N5)+SUM(P5:X5),"")</f>
        <v>109</v>
      </c>
    </row>
    <row r="6" spans="1:26" x14ac:dyDescent="0.2">
      <c r="A6" s="2" t="str" cm="1">
        <f t="array" ref="A6">_xlfn.CONCAT(INDEX(PlayerNames,SUMPRODUCT((PlayerPlayerNo=(ROUNDUP((ROW()-3.5)/4,0)))*ROW(PlayerNames))-1)," Handicap Strokes")</f>
        <v>John Allen Handicap Strokes</v>
      </c>
      <c r="B6" s="2"/>
      <c r="C6" s="2"/>
      <c r="D6" s="2"/>
      <c r="E6" s="2"/>
      <c r="F6" s="7">
        <f>ROUNDDOWN($E4/18,0)+IF(MOD($E4,18)&gt;=F4,1,0)</f>
        <v>2</v>
      </c>
      <c r="G6" s="7">
        <f t="shared" ref="G6:N6" si="0">ROUNDDOWN($E4/18,0)+IF(MOD($E4,18)&gt;=G4,1,0)</f>
        <v>1</v>
      </c>
      <c r="H6" s="7">
        <f t="shared" si="0"/>
        <v>1</v>
      </c>
      <c r="I6" s="7">
        <f t="shared" si="0"/>
        <v>2</v>
      </c>
      <c r="J6" s="7">
        <f t="shared" si="0"/>
        <v>1</v>
      </c>
      <c r="K6" s="7">
        <f t="shared" si="0"/>
        <v>1</v>
      </c>
      <c r="L6" s="7">
        <f t="shared" si="0"/>
        <v>2</v>
      </c>
      <c r="M6" s="7">
        <f t="shared" si="0"/>
        <v>2</v>
      </c>
      <c r="N6" s="7">
        <f t="shared" si="0"/>
        <v>2</v>
      </c>
      <c r="O6" s="7">
        <f t="shared" ref="O6:O7" si="1">IF(OR(ISBLANK(F6),F6=""),"",SUM(F6:N6))</f>
        <v>14</v>
      </c>
      <c r="P6" s="7">
        <f t="shared" ref="P6:X6" si="2">ROUNDDOWN($E4/18,0)+IF(MOD($E4,18)&gt;=P4,1,0)</f>
        <v>1</v>
      </c>
      <c r="Q6" s="7">
        <f t="shared" si="2"/>
        <v>2</v>
      </c>
      <c r="R6" s="7">
        <f t="shared" si="2"/>
        <v>2</v>
      </c>
      <c r="S6" s="7">
        <f t="shared" si="2"/>
        <v>2</v>
      </c>
      <c r="T6" s="7">
        <f t="shared" si="2"/>
        <v>1</v>
      </c>
      <c r="U6" s="7">
        <f t="shared" si="2"/>
        <v>1</v>
      </c>
      <c r="V6" s="7">
        <f t="shared" si="2"/>
        <v>1</v>
      </c>
      <c r="W6" s="7">
        <f t="shared" si="2"/>
        <v>1</v>
      </c>
      <c r="X6" s="7">
        <f t="shared" si="2"/>
        <v>2</v>
      </c>
      <c r="Y6" s="7">
        <f t="shared" ref="Y6:Y7" si="3">IF(OR(ISBLANK(P6),P6=""),"",SUM(P6:X6))</f>
        <v>13</v>
      </c>
      <c r="Z6" s="7">
        <f t="shared" ref="Z6:Z7" si="4">IF(OR(ISBLANK(F6),F6=""),"",SUM(F6:N6)+SUM(P6:X6))</f>
        <v>27</v>
      </c>
    </row>
    <row r="7" spans="1:26" x14ac:dyDescent="0.2">
      <c r="A7" s="2" t="str" cm="1">
        <f t="array" ref="A7">_xlfn.CONCAT(INDEX(PlayerNames,SUMPRODUCT((PlayerPlayerNo=(ROUNDUP((ROW()-3.5)/4,0)))*ROW(PlayerNames))-1)," Net")</f>
        <v>John Allen Net</v>
      </c>
      <c r="B7" s="2"/>
      <c r="C7" s="2"/>
      <c r="D7" s="2"/>
      <c r="E7" s="2"/>
      <c r="F7" s="7">
        <f t="shared" ref="F7:N7" si="5">IF(F5-F6&gt;0,F5-F6,"")</f>
        <v>6</v>
      </c>
      <c r="G7" s="7">
        <f t="shared" si="5"/>
        <v>4</v>
      </c>
      <c r="H7" s="7">
        <f t="shared" si="5"/>
        <v>2</v>
      </c>
      <c r="I7" s="7">
        <f t="shared" si="5"/>
        <v>4</v>
      </c>
      <c r="J7" s="7">
        <f t="shared" si="5"/>
        <v>6</v>
      </c>
      <c r="K7" s="7">
        <f t="shared" si="5"/>
        <v>3</v>
      </c>
      <c r="L7" s="7">
        <f t="shared" si="5"/>
        <v>7</v>
      </c>
      <c r="M7" s="7">
        <f t="shared" si="5"/>
        <v>4</v>
      </c>
      <c r="N7" s="7">
        <f t="shared" si="5"/>
        <v>4</v>
      </c>
      <c r="O7" s="7">
        <f t="shared" si="1"/>
        <v>40</v>
      </c>
      <c r="P7" s="7">
        <f t="shared" ref="P7:X7" si="6">IF(P5-P6&gt;0,P5-P6,"")</f>
        <v>4</v>
      </c>
      <c r="Q7" s="7">
        <f t="shared" si="6"/>
        <v>5</v>
      </c>
      <c r="R7" s="7">
        <f t="shared" si="6"/>
        <v>5</v>
      </c>
      <c r="S7" s="7">
        <f t="shared" si="6"/>
        <v>2</v>
      </c>
      <c r="T7" s="7">
        <f t="shared" si="6"/>
        <v>6</v>
      </c>
      <c r="U7" s="7">
        <f t="shared" si="6"/>
        <v>4</v>
      </c>
      <c r="V7" s="7">
        <f t="shared" si="6"/>
        <v>6</v>
      </c>
      <c r="W7" s="7">
        <f t="shared" si="6"/>
        <v>4</v>
      </c>
      <c r="X7" s="7">
        <f t="shared" si="6"/>
        <v>6</v>
      </c>
      <c r="Y7" s="7">
        <f t="shared" si="3"/>
        <v>42</v>
      </c>
      <c r="Z7" s="7">
        <f t="shared" si="4"/>
        <v>82</v>
      </c>
    </row>
    <row r="8" spans="1:26" x14ac:dyDescent="0.2">
      <c r="A8" s="2" t="str" cm="1">
        <f t="array" ref="A8">INDEX(PlayerNames,SUMPRODUCT((PlayerPlayerNo=(ROUNDUP((ROW()-3.5)/4,0)))*ROW(PlayerNames))-1)</f>
        <v>Ken Moon</v>
      </c>
      <c r="B8" s="2" t="str" cm="1">
        <f t="array" ref="B8">INDEX(PlayerTees,SUMPRODUCT((PlayerPlayerNo=(ROUNDUP((ROW()-3.5)/4,0)))*ROW(PlayerNames))-1)</f>
        <v>Green</v>
      </c>
      <c r="C8" s="2" cm="1">
        <f t="array" ref="C8">IF(MaxIndex &gt; 0,MIN(INDEX(PlayerHandicaps,SUMPRODUCT((PlayerPlayerNo=(ROUNDUP((ROW()-3.5)/4,0)))*ROW(PlayerHandicaps))-1),MaxIndex),INDEX(PlayerHandicaps,SUMPRODUCT((PlayerPlayerNo=(ROUNDUP((ROW()-3.5)/4,0)))*ROW(PlayerHandicaps))-1))</f>
        <v>7</v>
      </c>
      <c r="D8" s="2" cm="1">
        <f t="array" ref="D8">IF(C8="","",IF(C8=0,0,IF(INDEX(PlayerGender,SUMPRODUCT((PlayerPlayerNo=(ROUNDUP((ROW()-3.5)/4,0)))*ROW(PlayerGender))-1)="M",ROUND((C8*(HLOOKUP(B8,MensTees,2,FALSE)/113))+(HLOOKUP(B8,MensTees,3,FALSE)-HLOOKUP(B8,MensTees,4,FALSE)),0),ROUND((C8*(HLOOKUP(B8,WomenTees,2,FALSE)/113))+(HLOOKUP(B8,WomenTees,3,FALSE)-HLOOKUP(B8,WomenTees,4,FALSE)),0))))</f>
        <v>7</v>
      </c>
      <c r="E8" s="2">
        <f>IF(A9 = "Solo",D8,ROUND(D8*HandicapAllowance,0))</f>
        <v>7</v>
      </c>
      <c r="F8" s="6" cm="1">
        <f t="array" ref="F8">INDEX(HoleHandicapM,F$2,0)</f>
        <v>5</v>
      </c>
      <c r="G8" s="6" cm="1">
        <f t="array" ref="G8">INDEX(HoleHandicapM,G$2,0)</f>
        <v>17</v>
      </c>
      <c r="H8" s="6" cm="1">
        <f t="array" ref="H8">INDEX(HoleHandicapM,H$2,0)</f>
        <v>11</v>
      </c>
      <c r="I8" s="6" cm="1">
        <f t="array" ref="I8">INDEX(HoleHandicapM,I$2,0)</f>
        <v>3</v>
      </c>
      <c r="J8" s="6" cm="1">
        <f t="array" ref="J8">INDEX(HoleHandicapM,J$2,0)</f>
        <v>13</v>
      </c>
      <c r="K8" s="6" cm="1">
        <f t="array" ref="K8">INDEX(HoleHandicapM,K$2,0)</f>
        <v>15</v>
      </c>
      <c r="L8" s="6" cm="1">
        <f t="array" ref="L8">INDEX(HoleHandicapM,L$2,0)</f>
        <v>1</v>
      </c>
      <c r="M8" s="6" cm="1">
        <f t="array" ref="M8">INDEX(HoleHandicapM,M$2,0)</f>
        <v>9</v>
      </c>
      <c r="N8" s="6" cm="1">
        <f t="array" ref="N8">INDEX(HoleHandicapM,N$2,0)</f>
        <v>7</v>
      </c>
      <c r="P8" s="6" cm="1">
        <f t="array" ref="P8">INDEX(HoleHandicapM,P$2,0)</f>
        <v>12</v>
      </c>
      <c r="Q8" s="6" cm="1">
        <f t="array" ref="Q8">INDEX(HoleHandicapM,Q$2,0)</f>
        <v>6</v>
      </c>
      <c r="R8" s="6" cm="1">
        <f t="array" ref="R8">INDEX(HoleHandicapM,R$2,0)</f>
        <v>2</v>
      </c>
      <c r="S8" s="6" cm="1">
        <f t="array" ref="S8">INDEX(HoleHandicapM,S$2,0)</f>
        <v>8</v>
      </c>
      <c r="T8" s="6" cm="1">
        <f t="array" ref="T8">INDEX(HoleHandicapM,T$2,0)</f>
        <v>14</v>
      </c>
      <c r="U8" s="6" cm="1">
        <f t="array" ref="U8">INDEX(HoleHandicapM,U$2,0)</f>
        <v>16</v>
      </c>
      <c r="V8" s="6" cm="1">
        <f t="array" ref="V8">INDEX(HoleHandicapM,V$2,0)</f>
        <v>18</v>
      </c>
      <c r="W8" s="6" cm="1">
        <f t="array" ref="W8">INDEX(HoleHandicapM,W$2,0)</f>
        <v>10</v>
      </c>
      <c r="X8" s="6" cm="1">
        <f t="array" ref="X8">INDEX(HoleHandicapM,X$2,0)</f>
        <v>4</v>
      </c>
      <c r="Y8" s="6"/>
      <c r="Z8" s="2"/>
    </row>
    <row r="9" spans="1:26" x14ac:dyDescent="0.2">
      <c r="A9" s="2" t="str" cm="1">
        <f t="array" ref="A9">_xlfn.CONCAT(INDEX(PlayerNames,SUMPRODUCT((PlayerPlayerNo=(ROUNDUP((ROW()-3.5)/4,0)))*ROW(PlayerNames))-1)," Gross")</f>
        <v>Ken Moon Gross</v>
      </c>
      <c r="B9" s="2"/>
      <c r="C9" s="2"/>
      <c r="D9" s="2"/>
      <c r="E9" s="2"/>
      <c r="F9" s="2">
        <v>4</v>
      </c>
      <c r="G9" s="2">
        <v>4</v>
      </c>
      <c r="H9" s="2">
        <v>4</v>
      </c>
      <c r="I9" s="2">
        <v>5</v>
      </c>
      <c r="J9" s="2">
        <v>6</v>
      </c>
      <c r="K9" s="2">
        <v>5</v>
      </c>
      <c r="L9" s="2">
        <v>5</v>
      </c>
      <c r="M9" s="2">
        <v>4</v>
      </c>
      <c r="N9" s="2">
        <v>5</v>
      </c>
      <c r="O9" s="7">
        <f>IF(SUM(F9:N9)&gt;0,SUM(F9:N9),"")</f>
        <v>42</v>
      </c>
      <c r="P9" s="2">
        <v>4</v>
      </c>
      <c r="Q9" s="2">
        <v>5</v>
      </c>
      <c r="R9" s="2">
        <v>5</v>
      </c>
      <c r="S9" s="2">
        <v>4</v>
      </c>
      <c r="T9" s="2">
        <v>5</v>
      </c>
      <c r="U9" s="2">
        <v>4</v>
      </c>
      <c r="V9" s="2">
        <v>4</v>
      </c>
      <c r="W9" s="2">
        <v>5</v>
      </c>
      <c r="X9" s="2">
        <v>6</v>
      </c>
      <c r="Y9" s="7">
        <f>IF(SUM(P9:X9)&gt;0,SUM(P9:X9),"")</f>
        <v>42</v>
      </c>
      <c r="Z9" s="7">
        <f>IF((SUM(F9:N9)+SUM(P9:X9))&gt;0,SUM(F9:N9)+SUM(P9:X9),"")</f>
        <v>84</v>
      </c>
    </row>
    <row r="10" spans="1:26" x14ac:dyDescent="0.2">
      <c r="A10" s="2" t="str" cm="1">
        <f t="array" ref="A10">_xlfn.CONCAT(INDEX(PlayerNames,SUMPRODUCT((PlayerPlayerNo=(ROUNDUP((ROW()-3.5)/4,0)))*ROW(PlayerNames))-1)," Handicap Strokes")</f>
        <v>Ken Moon Handicap Strokes</v>
      </c>
      <c r="B10" s="2"/>
      <c r="C10" s="2"/>
      <c r="D10" s="2"/>
      <c r="E10" s="2"/>
      <c r="F10" s="7">
        <f>ROUNDDOWN($E8/18,0)+IF(MOD($E8,18)&gt;=F8,1,0)</f>
        <v>1</v>
      </c>
      <c r="G10" s="7">
        <f t="shared" ref="G10:N10" si="7">ROUNDDOWN($E8/18,0)+IF(MOD($E8,18)&gt;=G8,1,0)</f>
        <v>0</v>
      </c>
      <c r="H10" s="7">
        <f t="shared" si="7"/>
        <v>0</v>
      </c>
      <c r="I10" s="7">
        <f t="shared" si="7"/>
        <v>1</v>
      </c>
      <c r="J10" s="7">
        <f t="shared" si="7"/>
        <v>0</v>
      </c>
      <c r="K10" s="7">
        <f t="shared" si="7"/>
        <v>0</v>
      </c>
      <c r="L10" s="7">
        <f t="shared" si="7"/>
        <v>1</v>
      </c>
      <c r="M10" s="7">
        <f t="shared" si="7"/>
        <v>0</v>
      </c>
      <c r="N10" s="7">
        <f t="shared" si="7"/>
        <v>1</v>
      </c>
      <c r="O10" s="7">
        <f t="shared" ref="O10:O11" si="8">IF(OR(ISBLANK(F10),F10=""),"",SUM(F10:N10))</f>
        <v>4</v>
      </c>
      <c r="P10" s="7">
        <f t="shared" ref="P10:X10" si="9">ROUNDDOWN($E8/18,0)+IF(MOD($E8,18)&gt;=P8,1,0)</f>
        <v>0</v>
      </c>
      <c r="Q10" s="7">
        <f t="shared" si="9"/>
        <v>1</v>
      </c>
      <c r="R10" s="7">
        <f t="shared" si="9"/>
        <v>1</v>
      </c>
      <c r="S10" s="7">
        <f t="shared" si="9"/>
        <v>0</v>
      </c>
      <c r="T10" s="7">
        <f t="shared" si="9"/>
        <v>0</v>
      </c>
      <c r="U10" s="7">
        <f t="shared" si="9"/>
        <v>0</v>
      </c>
      <c r="V10" s="7">
        <f t="shared" si="9"/>
        <v>0</v>
      </c>
      <c r="W10" s="7">
        <f t="shared" si="9"/>
        <v>0</v>
      </c>
      <c r="X10" s="7">
        <f t="shared" si="9"/>
        <v>1</v>
      </c>
      <c r="Y10" s="7">
        <f t="shared" ref="Y10:Y11" si="10">IF(OR(ISBLANK(P10),P10=""),"",SUM(P10:X10))</f>
        <v>3</v>
      </c>
      <c r="Z10" s="7">
        <f t="shared" ref="Z10:Z11" si="11">IF(OR(ISBLANK(F10),F10=""),"",SUM(F10:N10)+SUM(P10:X10))</f>
        <v>7</v>
      </c>
    </row>
    <row r="11" spans="1:26" ht="15.75" customHeight="1" x14ac:dyDescent="0.2">
      <c r="A11" s="2" t="str" cm="1">
        <f t="array" ref="A11">_xlfn.CONCAT(INDEX(PlayerNames,SUMPRODUCT((PlayerPlayerNo=(ROUNDUP((ROW()-3.5)/4,0)))*ROW(PlayerNames))-1)," Net")</f>
        <v>Ken Moon Net</v>
      </c>
      <c r="B11" s="2"/>
      <c r="C11" s="2"/>
      <c r="D11" s="2"/>
      <c r="E11" s="2"/>
      <c r="F11" s="7">
        <f t="shared" ref="F11:N11" si="12">IF(F9-F10&gt;0,F9-F10,"")</f>
        <v>3</v>
      </c>
      <c r="G11" s="7">
        <f t="shared" si="12"/>
        <v>4</v>
      </c>
      <c r="H11" s="7">
        <f t="shared" si="12"/>
        <v>4</v>
      </c>
      <c r="I11" s="7">
        <f t="shared" si="12"/>
        <v>4</v>
      </c>
      <c r="J11" s="7">
        <f t="shared" si="12"/>
        <v>6</v>
      </c>
      <c r="K11" s="7">
        <f t="shared" si="12"/>
        <v>5</v>
      </c>
      <c r="L11" s="7">
        <f t="shared" si="12"/>
        <v>4</v>
      </c>
      <c r="M11" s="7">
        <f t="shared" si="12"/>
        <v>4</v>
      </c>
      <c r="N11" s="7">
        <f t="shared" si="12"/>
        <v>4</v>
      </c>
      <c r="O11" s="7">
        <f t="shared" si="8"/>
        <v>38</v>
      </c>
      <c r="P11" s="7">
        <f t="shared" ref="P11:X11" si="13">IF(P9-P10&gt;0,P9-P10,"")</f>
        <v>4</v>
      </c>
      <c r="Q11" s="7">
        <f t="shared" si="13"/>
        <v>4</v>
      </c>
      <c r="R11" s="7">
        <f t="shared" si="13"/>
        <v>4</v>
      </c>
      <c r="S11" s="7">
        <f t="shared" si="13"/>
        <v>4</v>
      </c>
      <c r="T11" s="7">
        <f t="shared" si="13"/>
        <v>5</v>
      </c>
      <c r="U11" s="7">
        <f t="shared" si="13"/>
        <v>4</v>
      </c>
      <c r="V11" s="7">
        <f t="shared" si="13"/>
        <v>4</v>
      </c>
      <c r="W11" s="7">
        <f t="shared" si="13"/>
        <v>5</v>
      </c>
      <c r="X11" s="7">
        <f t="shared" si="13"/>
        <v>5</v>
      </c>
      <c r="Y11" s="7">
        <f t="shared" si="10"/>
        <v>39</v>
      </c>
      <c r="Z11" s="7">
        <f t="shared" si="11"/>
        <v>77</v>
      </c>
    </row>
    <row r="12" spans="1:26" ht="15.75" customHeight="1" x14ac:dyDescent="0.2">
      <c r="A12" s="2" t="str" cm="1">
        <f t="array" ref="A12">INDEX(PlayerNames,SUMPRODUCT((PlayerPlayerNo=(ROUNDUP((ROW()-3.5)/4,0)))*ROW(PlayerNames))-1)</f>
        <v>Jordan Moon</v>
      </c>
      <c r="B12" s="2" t="str" cm="1">
        <f t="array" ref="B12">INDEX(PlayerTees,SUMPRODUCT((PlayerPlayerNo=(ROUNDUP((ROW()-3.5)/4,0)))*ROW(PlayerNames))-1)</f>
        <v>Teal</v>
      </c>
      <c r="C12" s="2" cm="1">
        <f t="array" ref="C12">IF(MaxIndex &gt; 0,MIN(INDEX(PlayerHandicaps,SUMPRODUCT((PlayerPlayerNo=(ROUNDUP((ROW()-3.5)/4,0)))*ROW(PlayerHandicaps))-1),MaxIndex),INDEX(PlayerHandicaps,SUMPRODUCT((PlayerPlayerNo=(ROUNDUP((ROW()-3.5)/4,0)))*ROW(PlayerHandicaps))-1))</f>
        <v>20</v>
      </c>
      <c r="D12" s="2" cm="1">
        <f t="array" ref="D12">IF(C12="","",IF(C12=0,0,IF(INDEX(PlayerGender,SUMPRODUCT((PlayerPlayerNo=(ROUNDUP((ROW()-3.5)/4,0)))*ROW(PlayerGender))-1)="M",ROUND((C12*(HLOOKUP(B12,MensTees,2,FALSE)/113))+(HLOOKUP(B12,MensTees,3,FALSE)-HLOOKUP(B12,MensTees,4,FALSE)),0),ROUND((C12*(HLOOKUP(B12,WomenTees,2,FALSE)/113))+(HLOOKUP(B12,WomenTees,3,FALSE)-HLOOKUP(B12,WomenTees,4,FALSE)),0))))</f>
        <v>21</v>
      </c>
      <c r="E12" s="2">
        <f>IF(A13 = "Solo",D12,ROUND(D12*HandicapAllowance,0))</f>
        <v>21</v>
      </c>
      <c r="F12" s="6" cm="1">
        <f t="array" ref="F12">INDEX(HoleHandicapM,F$2,0)</f>
        <v>5</v>
      </c>
      <c r="G12" s="6" cm="1">
        <f t="array" ref="G12">INDEX(HoleHandicapM,G$2,0)</f>
        <v>17</v>
      </c>
      <c r="H12" s="6" cm="1">
        <f t="array" ref="H12">INDEX(HoleHandicapM,H$2,0)</f>
        <v>11</v>
      </c>
      <c r="I12" s="6" cm="1">
        <f t="array" ref="I12">INDEX(HoleHandicapM,I$2,0)</f>
        <v>3</v>
      </c>
      <c r="J12" s="6" cm="1">
        <f t="array" ref="J12">INDEX(HoleHandicapM,J$2,0)</f>
        <v>13</v>
      </c>
      <c r="K12" s="6" cm="1">
        <f t="array" ref="K12">INDEX(HoleHandicapM,K$2,0)</f>
        <v>15</v>
      </c>
      <c r="L12" s="6" cm="1">
        <f t="array" ref="L12">INDEX(HoleHandicapM,L$2,0)</f>
        <v>1</v>
      </c>
      <c r="M12" s="6" cm="1">
        <f t="array" ref="M12">INDEX(HoleHandicapM,M$2,0)</f>
        <v>9</v>
      </c>
      <c r="N12" s="6" cm="1">
        <f t="array" ref="N12">INDEX(HoleHandicapM,N$2,0)</f>
        <v>7</v>
      </c>
      <c r="P12" s="6" cm="1">
        <f t="array" ref="P12">INDEX(HoleHandicapM,P$2,0)</f>
        <v>12</v>
      </c>
      <c r="Q12" s="6" cm="1">
        <f t="array" ref="Q12">INDEX(HoleHandicapM,Q$2,0)</f>
        <v>6</v>
      </c>
      <c r="R12" s="6" cm="1">
        <f t="array" ref="R12">INDEX(HoleHandicapM,R$2,0)</f>
        <v>2</v>
      </c>
      <c r="S12" s="6" cm="1">
        <f t="array" ref="S12">INDEX(HoleHandicapM,S$2,0)</f>
        <v>8</v>
      </c>
      <c r="T12" s="6" cm="1">
        <f t="array" ref="T12">INDEX(HoleHandicapM,T$2,0)</f>
        <v>14</v>
      </c>
      <c r="U12" s="6" cm="1">
        <f t="array" ref="U12">INDEX(HoleHandicapM,U$2,0)</f>
        <v>16</v>
      </c>
      <c r="V12" s="6" cm="1">
        <f t="array" ref="V12">INDEX(HoleHandicapM,V$2,0)</f>
        <v>18</v>
      </c>
      <c r="W12" s="6" cm="1">
        <f t="array" ref="W12">INDEX(HoleHandicapM,W$2,0)</f>
        <v>10</v>
      </c>
      <c r="X12" s="6" cm="1">
        <f t="array" ref="X12">INDEX(HoleHandicapM,X$2,0)</f>
        <v>4</v>
      </c>
      <c r="Y12" s="6"/>
      <c r="Z12" s="2"/>
    </row>
    <row r="13" spans="1:26" x14ac:dyDescent="0.2">
      <c r="A13" s="2" t="str" cm="1">
        <f t="array" ref="A13">_xlfn.CONCAT(INDEX(PlayerNames,SUMPRODUCT((PlayerPlayerNo=(ROUNDUP((ROW()-3.5)/4,0)))*ROW(PlayerNames))-1)," Gross")</f>
        <v>Jordan Moon Gross</v>
      </c>
      <c r="B13" s="2"/>
      <c r="C13" s="2"/>
      <c r="D13" s="2"/>
      <c r="E13" s="2"/>
      <c r="F13" s="2">
        <v>5</v>
      </c>
      <c r="G13" s="2">
        <v>5</v>
      </c>
      <c r="H13" s="2">
        <v>3</v>
      </c>
      <c r="I13" s="2">
        <v>6</v>
      </c>
      <c r="J13" s="2">
        <v>5</v>
      </c>
      <c r="K13" s="2">
        <v>5</v>
      </c>
      <c r="L13" s="2">
        <v>7</v>
      </c>
      <c r="M13" s="2">
        <v>4</v>
      </c>
      <c r="N13" s="2">
        <v>4</v>
      </c>
      <c r="O13" s="7">
        <f>IF(SUM(F13:N13)&gt;0,SUM(F13:N13),"")</f>
        <v>44</v>
      </c>
      <c r="P13" s="2">
        <v>4</v>
      </c>
      <c r="Q13" s="2">
        <v>5</v>
      </c>
      <c r="R13" s="2">
        <v>6</v>
      </c>
      <c r="S13" s="2">
        <v>5</v>
      </c>
      <c r="T13" s="2">
        <v>5</v>
      </c>
      <c r="U13" s="2">
        <v>5</v>
      </c>
      <c r="V13" s="2">
        <v>6</v>
      </c>
      <c r="W13" s="2">
        <v>4</v>
      </c>
      <c r="X13" s="2">
        <v>5</v>
      </c>
      <c r="Y13" s="7">
        <f>IF(SUM(P13:X13)&gt;0,SUM(P13:X13),"")</f>
        <v>45</v>
      </c>
      <c r="Z13" s="7">
        <f>IF((SUM(F13:N13)+SUM(P13:X13))&gt;0,SUM(F13:N13)+SUM(P13:X13),"")</f>
        <v>89</v>
      </c>
    </row>
    <row r="14" spans="1:26" x14ac:dyDescent="0.2">
      <c r="A14" s="2" t="str" cm="1">
        <f t="array" ref="A14">_xlfn.CONCAT(INDEX(PlayerNames,SUMPRODUCT((PlayerPlayerNo=(ROUNDUP((ROW()-3.5)/4,0)))*ROW(PlayerNames))-1)," Handicap Strokes")</f>
        <v>Jordan Moon Handicap Strokes</v>
      </c>
      <c r="B14" s="2"/>
      <c r="C14" s="2"/>
      <c r="D14" s="2"/>
      <c r="E14" s="2"/>
      <c r="F14" s="7">
        <f>ROUNDDOWN($E12/18,0)+IF(MOD($E12,18)&gt;=F12,1,0)</f>
        <v>1</v>
      </c>
      <c r="G14" s="7">
        <f t="shared" ref="G14:N14" si="14">ROUNDDOWN($E12/18,0)+IF(MOD($E12,18)&gt;=G12,1,0)</f>
        <v>1</v>
      </c>
      <c r="H14" s="7">
        <f t="shared" si="14"/>
        <v>1</v>
      </c>
      <c r="I14" s="7">
        <f t="shared" si="14"/>
        <v>2</v>
      </c>
      <c r="J14" s="7">
        <f t="shared" si="14"/>
        <v>1</v>
      </c>
      <c r="K14" s="7">
        <f t="shared" si="14"/>
        <v>1</v>
      </c>
      <c r="L14" s="7">
        <f t="shared" si="14"/>
        <v>2</v>
      </c>
      <c r="M14" s="7">
        <f t="shared" si="14"/>
        <v>1</v>
      </c>
      <c r="N14" s="7">
        <f t="shared" si="14"/>
        <v>1</v>
      </c>
      <c r="O14" s="7">
        <f t="shared" ref="O14:O15" si="15">IF(OR(ISBLANK(F14),F14=""),"",SUM(F14:N14))</f>
        <v>11</v>
      </c>
      <c r="P14" s="7">
        <f t="shared" ref="P14:X14" si="16">ROUNDDOWN($E12/18,0)+IF(MOD($E12,18)&gt;=P12,1,0)</f>
        <v>1</v>
      </c>
      <c r="Q14" s="7">
        <f t="shared" si="16"/>
        <v>1</v>
      </c>
      <c r="R14" s="7">
        <f t="shared" si="16"/>
        <v>2</v>
      </c>
      <c r="S14" s="7">
        <f t="shared" si="16"/>
        <v>1</v>
      </c>
      <c r="T14" s="7">
        <f t="shared" si="16"/>
        <v>1</v>
      </c>
      <c r="U14" s="7">
        <f t="shared" si="16"/>
        <v>1</v>
      </c>
      <c r="V14" s="7">
        <f t="shared" si="16"/>
        <v>1</v>
      </c>
      <c r="W14" s="7">
        <f t="shared" si="16"/>
        <v>1</v>
      </c>
      <c r="X14" s="7">
        <f t="shared" si="16"/>
        <v>1</v>
      </c>
      <c r="Y14" s="7">
        <f t="shared" ref="Y14:Y15" si="17">IF(OR(ISBLANK(P14),P14=""),"",SUM(P14:X14))</f>
        <v>10</v>
      </c>
      <c r="Z14" s="7">
        <f t="shared" ref="Z14:Z15" si="18">IF(OR(ISBLANK(F14),F14=""),"",SUM(F14:N14)+SUM(P14:X14))</f>
        <v>21</v>
      </c>
    </row>
    <row r="15" spans="1:26" x14ac:dyDescent="0.2">
      <c r="A15" s="2" t="str" cm="1">
        <f t="array" ref="A15">_xlfn.CONCAT(INDEX(PlayerNames,SUMPRODUCT((PlayerPlayerNo=(ROUNDUP((ROW()-3.5)/4,0)))*ROW(PlayerNames))-1)," Net")</f>
        <v>Jordan Moon Net</v>
      </c>
      <c r="B15" s="2"/>
      <c r="C15" s="2"/>
      <c r="D15" s="2"/>
      <c r="E15" s="2"/>
      <c r="F15" s="7">
        <f t="shared" ref="F15:N15" si="19">IF(F13-F14&gt;0,F13-F14,"")</f>
        <v>4</v>
      </c>
      <c r="G15" s="7">
        <f t="shared" si="19"/>
        <v>4</v>
      </c>
      <c r="H15" s="7">
        <f t="shared" si="19"/>
        <v>2</v>
      </c>
      <c r="I15" s="7">
        <f t="shared" si="19"/>
        <v>4</v>
      </c>
      <c r="J15" s="7">
        <f t="shared" si="19"/>
        <v>4</v>
      </c>
      <c r="K15" s="7">
        <f t="shared" si="19"/>
        <v>4</v>
      </c>
      <c r="L15" s="7">
        <f t="shared" si="19"/>
        <v>5</v>
      </c>
      <c r="M15" s="7">
        <f t="shared" si="19"/>
        <v>3</v>
      </c>
      <c r="N15" s="7">
        <f t="shared" si="19"/>
        <v>3</v>
      </c>
      <c r="O15" s="7">
        <f t="shared" si="15"/>
        <v>33</v>
      </c>
      <c r="P15" s="7">
        <f t="shared" ref="P15:X15" si="20">IF(P13-P14&gt;0,P13-P14,"")</f>
        <v>3</v>
      </c>
      <c r="Q15" s="7">
        <f t="shared" si="20"/>
        <v>4</v>
      </c>
      <c r="R15" s="7">
        <f t="shared" si="20"/>
        <v>4</v>
      </c>
      <c r="S15" s="7">
        <f t="shared" si="20"/>
        <v>4</v>
      </c>
      <c r="T15" s="7">
        <f t="shared" si="20"/>
        <v>4</v>
      </c>
      <c r="U15" s="7">
        <f t="shared" si="20"/>
        <v>4</v>
      </c>
      <c r="V15" s="7">
        <f t="shared" si="20"/>
        <v>5</v>
      </c>
      <c r="W15" s="7">
        <f t="shared" si="20"/>
        <v>3</v>
      </c>
      <c r="X15" s="7">
        <f t="shared" si="20"/>
        <v>4</v>
      </c>
      <c r="Y15" s="7">
        <f t="shared" si="17"/>
        <v>35</v>
      </c>
      <c r="Z15" s="7">
        <f t="shared" si="18"/>
        <v>68</v>
      </c>
    </row>
    <row r="16" spans="1:26" x14ac:dyDescent="0.2">
      <c r="A16" s="2" t="str" cm="1">
        <f t="array" ref="A16">INDEX(PlayerNames,SUMPRODUCT((PlayerPlayerNo=(ROUNDUP((ROW()-3.5)/4,0)))*ROW(PlayerNames))-1)</f>
        <v>Curt Balcerzak</v>
      </c>
      <c r="B16" s="2" t="s">
        <v>45</v>
      </c>
      <c r="C16" s="2" cm="1">
        <f t="array" ref="C16">IF(MaxIndex &gt; 0,MIN(INDEX(PlayerHandicaps,SUMPRODUCT((PlayerPlayerNo=(ROUNDUP((ROW()-3.5)/4,0)))*ROW(PlayerHandicaps))-1),MaxIndex),INDEX(PlayerHandicaps,SUMPRODUCT((PlayerPlayerNo=(ROUNDUP((ROW()-3.5)/4,0)))*ROW(PlayerHandicaps))-1))</f>
        <v>12</v>
      </c>
      <c r="D16" s="2" cm="1">
        <f t="array" ref="D16">IF(C16="","",IF(C16=0,0,IF(INDEX(PlayerGender,SUMPRODUCT((PlayerPlayerNo=(ROUNDUP((ROW()-3.5)/4,0)))*ROW(PlayerGender))-1)="M",ROUND((C16*(HLOOKUP(B16,MensTees,2,FALSE)/113))+(HLOOKUP(B16,MensTees,3,FALSE)-HLOOKUP(B16,MensTees,4,FALSE)),0),ROUND((C16*(HLOOKUP(B16,WomenTees,2,FALSE)/113))+(HLOOKUP(B16,WomenTees,3,FALSE)-HLOOKUP(B16,WomenTees,4,FALSE)),0))))</f>
        <v>12</v>
      </c>
      <c r="E16" s="2">
        <f>IF(A17 = "Solo",D16,ROUND(D16*HandicapAllowance,0))</f>
        <v>12</v>
      </c>
      <c r="F16" s="6" cm="1">
        <f t="array" ref="F16">INDEX(HoleHandicapM,F$2,0)</f>
        <v>5</v>
      </c>
      <c r="G16" s="6" cm="1">
        <f t="array" ref="G16">INDEX(HoleHandicapM,G$2,0)</f>
        <v>17</v>
      </c>
      <c r="H16" s="6" cm="1">
        <f t="array" ref="H16">INDEX(HoleHandicapM,H$2,0)</f>
        <v>11</v>
      </c>
      <c r="I16" s="6" cm="1">
        <f t="array" ref="I16">INDEX(HoleHandicapM,I$2,0)</f>
        <v>3</v>
      </c>
      <c r="J16" s="6" cm="1">
        <f t="array" ref="J16">INDEX(HoleHandicapM,J$2,0)</f>
        <v>13</v>
      </c>
      <c r="K16" s="6" cm="1">
        <f t="array" ref="K16">INDEX(HoleHandicapM,K$2,0)</f>
        <v>15</v>
      </c>
      <c r="L16" s="6" cm="1">
        <f t="array" ref="L16">INDEX(HoleHandicapM,L$2,0)</f>
        <v>1</v>
      </c>
      <c r="M16" s="6" cm="1">
        <f t="array" ref="M16">INDEX(HoleHandicapM,M$2,0)</f>
        <v>9</v>
      </c>
      <c r="N16" s="6" cm="1">
        <f t="array" ref="N16">INDEX(HoleHandicapM,N$2,0)</f>
        <v>7</v>
      </c>
      <c r="P16" s="6" cm="1">
        <f t="array" ref="P16">INDEX(HoleHandicapM,P$2,0)</f>
        <v>12</v>
      </c>
      <c r="Q16" s="6" cm="1">
        <f t="array" ref="Q16">INDEX(HoleHandicapM,Q$2,0)</f>
        <v>6</v>
      </c>
      <c r="R16" s="6" cm="1">
        <f t="array" ref="R16">INDEX(HoleHandicapM,R$2,0)</f>
        <v>2</v>
      </c>
      <c r="S16" s="6" cm="1">
        <f t="array" ref="S16">INDEX(HoleHandicapM,S$2,0)</f>
        <v>8</v>
      </c>
      <c r="T16" s="6" cm="1">
        <f t="array" ref="T16">INDEX(HoleHandicapM,T$2,0)</f>
        <v>14</v>
      </c>
      <c r="U16" s="6" cm="1">
        <f t="array" ref="U16">INDEX(HoleHandicapM,U$2,0)</f>
        <v>16</v>
      </c>
      <c r="V16" s="6" cm="1">
        <f t="array" ref="V16">INDEX(HoleHandicapM,V$2,0)</f>
        <v>18</v>
      </c>
      <c r="W16" s="6" cm="1">
        <f t="array" ref="W16">INDEX(HoleHandicapM,W$2,0)</f>
        <v>10</v>
      </c>
      <c r="X16" s="6" cm="1">
        <f t="array" ref="X16">INDEX(HoleHandicapM,X$2,0)</f>
        <v>4</v>
      </c>
      <c r="Y16" s="6"/>
      <c r="Z16" s="2"/>
    </row>
    <row r="17" spans="1:26" x14ac:dyDescent="0.2">
      <c r="A17" s="2" t="str" cm="1">
        <f t="array" ref="A17">_xlfn.CONCAT(INDEX(PlayerNames,SUMPRODUCT((PlayerPlayerNo=(ROUNDUP((ROW()-3.5)/4,0)))*ROW(PlayerNames))-1)," Gross")</f>
        <v>Curt Balcerzak Gross</v>
      </c>
      <c r="B17" s="2"/>
      <c r="C17" s="2"/>
      <c r="D17" s="2"/>
      <c r="E17" s="2"/>
      <c r="F17" s="2">
        <v>6</v>
      </c>
      <c r="G17" s="2">
        <v>5</v>
      </c>
      <c r="H17" s="2">
        <v>3</v>
      </c>
      <c r="I17" s="2">
        <v>5</v>
      </c>
      <c r="J17" s="2">
        <v>5</v>
      </c>
      <c r="K17" s="2">
        <v>7</v>
      </c>
      <c r="L17" s="2">
        <v>7</v>
      </c>
      <c r="M17" s="2">
        <v>4</v>
      </c>
      <c r="N17" s="2">
        <v>5</v>
      </c>
      <c r="O17" s="7">
        <f>IF(SUM(F17:N17)&gt;0,SUM(F17:N17),"")</f>
        <v>47</v>
      </c>
      <c r="P17" s="2">
        <v>5</v>
      </c>
      <c r="Q17" s="2">
        <v>5</v>
      </c>
      <c r="R17" s="2">
        <v>5</v>
      </c>
      <c r="S17" s="2">
        <v>4</v>
      </c>
      <c r="T17" s="2">
        <v>6</v>
      </c>
      <c r="U17" s="2">
        <v>5</v>
      </c>
      <c r="V17" s="2">
        <v>7</v>
      </c>
      <c r="W17" s="2">
        <v>6</v>
      </c>
      <c r="X17" s="2">
        <v>7</v>
      </c>
      <c r="Y17" s="7">
        <f>IF(SUM(P17:X17)&gt;0,SUM(P17:X17),"")</f>
        <v>50</v>
      </c>
      <c r="Z17" s="7">
        <f>IF((SUM(F17:N17)+SUM(P17:X17))&gt;0,SUM(F17:N17)+SUM(P17:X17),"")</f>
        <v>97</v>
      </c>
    </row>
    <row r="18" spans="1:26" x14ac:dyDescent="0.2">
      <c r="A18" s="2" t="str" cm="1">
        <f t="array" ref="A18">_xlfn.CONCAT(INDEX(PlayerNames,SUMPRODUCT((PlayerPlayerNo=(ROUNDUP((ROW()-3.5)/4,0)))*ROW(PlayerNames))-1)," Handicap Strokes")</f>
        <v>Curt Balcerzak Handicap Strokes</v>
      </c>
      <c r="B18" s="2"/>
      <c r="C18" s="2"/>
      <c r="D18" s="2"/>
      <c r="E18" s="2"/>
      <c r="F18" s="7">
        <f>ROUNDDOWN($E16/18,0)+IF(MOD($E16,18)&gt;=F16,1,0)</f>
        <v>1</v>
      </c>
      <c r="G18" s="7">
        <f t="shared" ref="G18:N18" si="21">ROUNDDOWN($E16/18,0)+IF(MOD($E16,18)&gt;=G16,1,0)</f>
        <v>0</v>
      </c>
      <c r="H18" s="7">
        <f t="shared" si="21"/>
        <v>1</v>
      </c>
      <c r="I18" s="7">
        <f t="shared" si="21"/>
        <v>1</v>
      </c>
      <c r="J18" s="7">
        <f t="shared" si="21"/>
        <v>0</v>
      </c>
      <c r="K18" s="7">
        <f t="shared" si="21"/>
        <v>0</v>
      </c>
      <c r="L18" s="7">
        <f t="shared" si="21"/>
        <v>1</v>
      </c>
      <c r="M18" s="7">
        <f t="shared" si="21"/>
        <v>1</v>
      </c>
      <c r="N18" s="7">
        <f t="shared" si="21"/>
        <v>1</v>
      </c>
      <c r="O18" s="7">
        <f t="shared" ref="O18:O19" si="22">IF(OR(ISBLANK(F18),F18=""),"",SUM(F18:N18))</f>
        <v>6</v>
      </c>
      <c r="P18" s="7">
        <f t="shared" ref="P18:X18" si="23">ROUNDDOWN($E16/18,0)+IF(MOD($E16,18)&gt;=P16,1,0)</f>
        <v>1</v>
      </c>
      <c r="Q18" s="7">
        <f t="shared" si="23"/>
        <v>1</v>
      </c>
      <c r="R18" s="7">
        <f t="shared" si="23"/>
        <v>1</v>
      </c>
      <c r="S18" s="7">
        <f t="shared" si="23"/>
        <v>1</v>
      </c>
      <c r="T18" s="7">
        <f t="shared" si="23"/>
        <v>0</v>
      </c>
      <c r="U18" s="7">
        <f t="shared" si="23"/>
        <v>0</v>
      </c>
      <c r="V18" s="7">
        <f t="shared" si="23"/>
        <v>0</v>
      </c>
      <c r="W18" s="7">
        <f t="shared" si="23"/>
        <v>1</v>
      </c>
      <c r="X18" s="7">
        <f t="shared" si="23"/>
        <v>1</v>
      </c>
      <c r="Y18" s="7">
        <f t="shared" ref="Y18:Y19" si="24">IF(OR(ISBLANK(P18),P18=""),"",SUM(P18:X18))</f>
        <v>6</v>
      </c>
      <c r="Z18" s="7">
        <f t="shared" ref="Z18:Z19" si="25">IF(OR(ISBLANK(F18),F18=""),"",SUM(F18:N18)+SUM(P18:X18))</f>
        <v>12</v>
      </c>
    </row>
    <row r="19" spans="1:26" x14ac:dyDescent="0.2">
      <c r="A19" s="2" t="str" cm="1">
        <f t="array" ref="A19">_xlfn.CONCAT(INDEX(PlayerNames,SUMPRODUCT((PlayerPlayerNo=(ROUNDUP((ROW()-3.5)/4,0)))*ROW(PlayerNames))-1)," Net")</f>
        <v>Curt Balcerzak Net</v>
      </c>
      <c r="B19" s="2"/>
      <c r="C19" s="2"/>
      <c r="D19" s="2"/>
      <c r="E19" s="2"/>
      <c r="F19" s="7">
        <f t="shared" ref="F19:N19" si="26">IF(F17-F18&gt;0,F17-F18,"")</f>
        <v>5</v>
      </c>
      <c r="G19" s="7">
        <f t="shared" si="26"/>
        <v>5</v>
      </c>
      <c r="H19" s="7">
        <f t="shared" si="26"/>
        <v>2</v>
      </c>
      <c r="I19" s="7">
        <f t="shared" si="26"/>
        <v>4</v>
      </c>
      <c r="J19" s="7">
        <f t="shared" si="26"/>
        <v>5</v>
      </c>
      <c r="K19" s="7">
        <f t="shared" si="26"/>
        <v>7</v>
      </c>
      <c r="L19" s="7">
        <f t="shared" si="26"/>
        <v>6</v>
      </c>
      <c r="M19" s="7">
        <f t="shared" si="26"/>
        <v>3</v>
      </c>
      <c r="N19" s="7">
        <f t="shared" si="26"/>
        <v>4</v>
      </c>
      <c r="O19" s="7">
        <f t="shared" si="22"/>
        <v>41</v>
      </c>
      <c r="P19" s="7">
        <f t="shared" ref="P19:X19" si="27">IF(P17-P18&gt;0,P17-P18,"")</f>
        <v>4</v>
      </c>
      <c r="Q19" s="7">
        <f t="shared" si="27"/>
        <v>4</v>
      </c>
      <c r="R19" s="7">
        <f t="shared" si="27"/>
        <v>4</v>
      </c>
      <c r="S19" s="7">
        <f t="shared" si="27"/>
        <v>3</v>
      </c>
      <c r="T19" s="7">
        <f t="shared" si="27"/>
        <v>6</v>
      </c>
      <c r="U19" s="7">
        <f t="shared" si="27"/>
        <v>5</v>
      </c>
      <c r="V19" s="7">
        <f t="shared" si="27"/>
        <v>7</v>
      </c>
      <c r="W19" s="7">
        <f t="shared" si="27"/>
        <v>5</v>
      </c>
      <c r="X19" s="7">
        <f t="shared" si="27"/>
        <v>6</v>
      </c>
      <c r="Y19" s="7">
        <f t="shared" si="24"/>
        <v>44</v>
      </c>
      <c r="Z19" s="7">
        <f t="shared" si="25"/>
        <v>85</v>
      </c>
    </row>
    <row r="20" spans="1:26" x14ac:dyDescent="0.2">
      <c r="A20" s="2" t="str" cm="1">
        <f t="array" ref="A20">INDEX(PlayerNames,SUMPRODUCT((PlayerPlayerNo=(ROUNDUP((ROW()-3.5)/4,0)))*ROW(PlayerNames))-1)</f>
        <v>Marcus Fast</v>
      </c>
      <c r="B20" s="2" t="str" cm="1">
        <f t="array" ref="B20">INDEX(PlayerTees,SUMPRODUCT((PlayerPlayerNo=(ROUNDUP((ROW()-3.5)/4,0)))*ROW(PlayerNames))-1)</f>
        <v>Yellow</v>
      </c>
      <c r="C20" s="2" cm="1">
        <f t="array" ref="C20">IF(MaxIndex &gt; 0,MIN(INDEX(PlayerHandicaps,SUMPRODUCT((PlayerPlayerNo=(ROUNDUP((ROW()-3.5)/4,0)))*ROW(PlayerHandicaps))-1),MaxIndex),INDEX(PlayerHandicaps,SUMPRODUCT((PlayerPlayerNo=(ROUNDUP((ROW()-3.5)/4,0)))*ROW(PlayerHandicaps))-1))</f>
        <v>35.799999999999997</v>
      </c>
      <c r="D20" s="2" cm="1">
        <f t="array" ref="D20">IF(C20="","",IF(C20=0,0,IF(INDEX(PlayerGender,SUMPRODUCT((PlayerPlayerNo=(ROUNDUP((ROW()-3.5)/4,0)))*ROW(PlayerGender))-1)="M",ROUND((C20*(HLOOKUP(B20,MensTees,2,FALSE)/113))+(HLOOKUP(B20,MensTees,3,FALSE)-HLOOKUP(B20,MensTees,4,FALSE)),0),ROUND((C20*(HLOOKUP(B20,WomenTees,2,FALSE)/113))+(HLOOKUP(B20,WomenTees,3,FALSE)-HLOOKUP(B20,WomenTees,4,FALSE)),0))))</f>
        <v>31</v>
      </c>
      <c r="E20" s="2">
        <f>IF(A21 = "Solo",D20,ROUND(D20*HandicapAllowance,0))</f>
        <v>31</v>
      </c>
      <c r="F20" s="6" cm="1">
        <f t="array" ref="F20">INDEX(HoleHandicapM,F$2,0)</f>
        <v>5</v>
      </c>
      <c r="G20" s="6" cm="1">
        <f t="array" ref="G20">INDEX(HoleHandicapM,G$2,0)</f>
        <v>17</v>
      </c>
      <c r="H20" s="6" cm="1">
        <f t="array" ref="H20">INDEX(HoleHandicapM,H$2,0)</f>
        <v>11</v>
      </c>
      <c r="I20" s="6" cm="1">
        <f t="array" ref="I20">INDEX(HoleHandicapM,I$2,0)</f>
        <v>3</v>
      </c>
      <c r="J20" s="6" cm="1">
        <f t="array" ref="J20">INDEX(HoleHandicapM,J$2,0)</f>
        <v>13</v>
      </c>
      <c r="K20" s="6" cm="1">
        <f t="array" ref="K20">INDEX(HoleHandicapM,K$2,0)</f>
        <v>15</v>
      </c>
      <c r="L20" s="6" cm="1">
        <f t="array" ref="L20">INDEX(HoleHandicapM,L$2,0)</f>
        <v>1</v>
      </c>
      <c r="M20" s="6" cm="1">
        <f t="array" ref="M20">INDEX(HoleHandicapM,M$2,0)</f>
        <v>9</v>
      </c>
      <c r="N20" s="6" cm="1">
        <f t="array" ref="N20">INDEX(HoleHandicapM,N$2,0)</f>
        <v>7</v>
      </c>
      <c r="P20" s="6" cm="1">
        <f t="array" ref="P20">INDEX(HoleHandicapM,P$2,0)</f>
        <v>12</v>
      </c>
      <c r="Q20" s="6" cm="1">
        <f t="array" ref="Q20">INDEX(HoleHandicapM,Q$2,0)</f>
        <v>6</v>
      </c>
      <c r="R20" s="6" cm="1">
        <f t="array" ref="R20">INDEX(HoleHandicapM,R$2,0)</f>
        <v>2</v>
      </c>
      <c r="S20" s="6" cm="1">
        <f t="array" ref="S20">INDEX(HoleHandicapM,S$2,0)</f>
        <v>8</v>
      </c>
      <c r="T20" s="6" cm="1">
        <f t="array" ref="T20">INDEX(HoleHandicapM,T$2,0)</f>
        <v>14</v>
      </c>
      <c r="U20" s="6" cm="1">
        <f t="array" ref="U20">INDEX(HoleHandicapM,U$2,0)</f>
        <v>16</v>
      </c>
      <c r="V20" s="6" cm="1">
        <f t="array" ref="V20">INDEX(HoleHandicapM,V$2,0)</f>
        <v>18</v>
      </c>
      <c r="W20" s="6" cm="1">
        <f t="array" ref="W20">INDEX(HoleHandicapM,W$2,0)</f>
        <v>10</v>
      </c>
      <c r="X20" s="6" cm="1">
        <f t="array" ref="X20">INDEX(HoleHandicapM,X$2,0)</f>
        <v>4</v>
      </c>
      <c r="Y20" s="6"/>
      <c r="Z20" s="2"/>
    </row>
    <row r="21" spans="1:26" x14ac:dyDescent="0.2">
      <c r="A21" s="2" t="str" cm="1">
        <f t="array" ref="A21">_xlfn.CONCAT(INDEX(PlayerNames,SUMPRODUCT((PlayerPlayerNo=(ROUNDUP((ROW()-3.5)/4,0)))*ROW(PlayerNames))-1)," Gross")</f>
        <v>Marcus Fast Gross</v>
      </c>
      <c r="B21" s="2"/>
      <c r="C21" s="2"/>
      <c r="D21" s="2"/>
      <c r="E21" s="2"/>
      <c r="F21" s="2">
        <v>6</v>
      </c>
      <c r="G21" s="2">
        <v>6</v>
      </c>
      <c r="H21" s="2">
        <v>4</v>
      </c>
      <c r="I21" s="2">
        <v>8</v>
      </c>
      <c r="J21" s="2">
        <v>7</v>
      </c>
      <c r="K21" s="2">
        <v>7</v>
      </c>
      <c r="L21" s="2">
        <v>9</v>
      </c>
      <c r="M21" s="2">
        <v>3</v>
      </c>
      <c r="N21" s="2">
        <v>8</v>
      </c>
      <c r="O21" s="7">
        <f>IF(SUM(F21:N21)&gt;0,SUM(F21:N21),"")</f>
        <v>58</v>
      </c>
      <c r="P21" s="2">
        <v>6</v>
      </c>
      <c r="Q21" s="2">
        <v>7</v>
      </c>
      <c r="R21" s="2">
        <v>6</v>
      </c>
      <c r="S21" s="2">
        <v>4</v>
      </c>
      <c r="T21" s="2">
        <v>7</v>
      </c>
      <c r="U21" s="2">
        <v>5</v>
      </c>
      <c r="V21" s="2">
        <v>6</v>
      </c>
      <c r="W21" s="2">
        <v>3</v>
      </c>
      <c r="X21" s="2">
        <v>6</v>
      </c>
      <c r="Z21" s="7">
        <f>IF((SUM(F21:N21)+SUM(P21:X21))&gt;0,SUM(F21:N21)+SUM(P21:X21),"")</f>
        <v>108</v>
      </c>
    </row>
    <row r="22" spans="1:26" x14ac:dyDescent="0.2">
      <c r="A22" s="2" t="str" cm="1">
        <f t="array" ref="A22">_xlfn.CONCAT(INDEX(PlayerNames,SUMPRODUCT((PlayerPlayerNo=(ROUNDUP((ROW()-3.5)/4,0)))*ROW(PlayerNames))-1)," Handicap Strokes")</f>
        <v>Marcus Fast Handicap Strokes</v>
      </c>
      <c r="B22" s="2"/>
      <c r="C22" s="2"/>
      <c r="D22" s="2"/>
      <c r="E22" s="2"/>
      <c r="F22" s="7">
        <f>ROUNDDOWN($E20/18,0)+IF(MOD($E20,18)&gt;=F20,1,0)</f>
        <v>2</v>
      </c>
      <c r="G22" s="7">
        <f t="shared" ref="G22:N22" si="28">ROUNDDOWN($E20/18,0)+IF(MOD($E20,18)&gt;=G20,1,0)</f>
        <v>1</v>
      </c>
      <c r="H22" s="7">
        <f t="shared" si="28"/>
        <v>2</v>
      </c>
      <c r="I22" s="7">
        <f t="shared" si="28"/>
        <v>2</v>
      </c>
      <c r="J22" s="7">
        <f t="shared" si="28"/>
        <v>2</v>
      </c>
      <c r="K22" s="7">
        <f t="shared" si="28"/>
        <v>1</v>
      </c>
      <c r="L22" s="7">
        <f t="shared" si="28"/>
        <v>2</v>
      </c>
      <c r="M22" s="7">
        <f t="shared" si="28"/>
        <v>2</v>
      </c>
      <c r="N22" s="7">
        <f t="shared" si="28"/>
        <v>2</v>
      </c>
      <c r="O22" s="7">
        <f t="shared" ref="O22:O23" si="29">IF(OR(ISBLANK(F22),F22=""),"",SUM(F22:N22))</f>
        <v>16</v>
      </c>
      <c r="P22" s="7">
        <f t="shared" ref="P22:X22" si="30">ROUNDDOWN($E20/18,0)+IF(MOD($E20,18)&gt;=P20,1,0)</f>
        <v>2</v>
      </c>
      <c r="Q22" s="7">
        <f t="shared" si="30"/>
        <v>2</v>
      </c>
      <c r="R22" s="7">
        <f t="shared" si="30"/>
        <v>2</v>
      </c>
      <c r="S22" s="7">
        <f t="shared" si="30"/>
        <v>2</v>
      </c>
      <c r="T22" s="7">
        <f t="shared" si="30"/>
        <v>1</v>
      </c>
      <c r="U22" s="7">
        <f t="shared" si="30"/>
        <v>1</v>
      </c>
      <c r="V22" s="7">
        <f t="shared" si="30"/>
        <v>1</v>
      </c>
      <c r="W22" s="7">
        <f t="shared" si="30"/>
        <v>2</v>
      </c>
      <c r="X22" s="7">
        <f t="shared" si="30"/>
        <v>2</v>
      </c>
      <c r="Y22" s="7">
        <f t="shared" ref="Y22:Y23" si="31">IF(OR(ISBLANK(P22),P22=""),"",SUM(P22:X22))</f>
        <v>15</v>
      </c>
      <c r="Z22" s="7">
        <f t="shared" ref="Z22:Z23" si="32">IF(OR(ISBLANK(F22),F22=""),"",SUM(F22:N22)+SUM(P22:X22))</f>
        <v>31</v>
      </c>
    </row>
    <row r="23" spans="1:26" x14ac:dyDescent="0.2">
      <c r="A23" s="2" t="str" cm="1">
        <f t="array" ref="A23">_xlfn.CONCAT(INDEX(PlayerNames,SUMPRODUCT((PlayerPlayerNo=(ROUNDUP((ROW()-3.5)/4,0)))*ROW(PlayerNames))-1)," Net")</f>
        <v>Marcus Fast Net</v>
      </c>
      <c r="B23" s="2"/>
      <c r="C23" s="2"/>
      <c r="D23" s="2"/>
      <c r="E23" s="2"/>
      <c r="F23" s="7">
        <f t="shared" ref="F23:N23" si="33">IF(F21-F22&gt;0,F21-F22,"")</f>
        <v>4</v>
      </c>
      <c r="G23" s="7">
        <f t="shared" si="33"/>
        <v>5</v>
      </c>
      <c r="H23" s="7">
        <f t="shared" si="33"/>
        <v>2</v>
      </c>
      <c r="I23" s="7">
        <f t="shared" si="33"/>
        <v>6</v>
      </c>
      <c r="J23" s="7">
        <f t="shared" si="33"/>
        <v>5</v>
      </c>
      <c r="K23" s="7">
        <f t="shared" si="33"/>
        <v>6</v>
      </c>
      <c r="L23" s="7">
        <f t="shared" si="33"/>
        <v>7</v>
      </c>
      <c r="M23" s="7">
        <f t="shared" si="33"/>
        <v>1</v>
      </c>
      <c r="N23" s="7">
        <f t="shared" si="33"/>
        <v>6</v>
      </c>
      <c r="O23" s="7">
        <f t="shared" si="29"/>
        <v>42</v>
      </c>
      <c r="P23" s="7">
        <f t="shared" ref="P23:X23" si="34">IF(P21-P22&gt;0,P21-P22,"")</f>
        <v>4</v>
      </c>
      <c r="Q23" s="7">
        <f t="shared" si="34"/>
        <v>5</v>
      </c>
      <c r="R23" s="7">
        <f t="shared" si="34"/>
        <v>4</v>
      </c>
      <c r="S23" s="7">
        <f t="shared" si="34"/>
        <v>2</v>
      </c>
      <c r="T23" s="7">
        <f t="shared" si="34"/>
        <v>6</v>
      </c>
      <c r="U23" s="7">
        <f t="shared" si="34"/>
        <v>4</v>
      </c>
      <c r="V23" s="7">
        <f t="shared" si="34"/>
        <v>5</v>
      </c>
      <c r="W23" s="7">
        <f t="shared" si="34"/>
        <v>1</v>
      </c>
      <c r="X23" s="7">
        <f t="shared" si="34"/>
        <v>4</v>
      </c>
      <c r="Y23" s="7">
        <f t="shared" si="31"/>
        <v>35</v>
      </c>
      <c r="Z23" s="7">
        <f t="shared" si="32"/>
        <v>77</v>
      </c>
    </row>
    <row r="24" spans="1:26" x14ac:dyDescent="0.2">
      <c r="A24" s="2" t="str" cm="1">
        <f t="array" ref="A24">INDEX(PlayerNames,SUMPRODUCT((PlayerPlayerNo=(ROUNDUP((ROW()-3.5)/4,0)))*ROW(PlayerNames))-1)</f>
        <v>Rob Franco</v>
      </c>
      <c r="B24" s="2" t="str" cm="1">
        <f t="array" ref="B24">INDEX(PlayerTees,SUMPRODUCT((PlayerPlayerNo=(ROUNDUP((ROW()-3.5)/4,0)))*ROW(PlayerNames))-1)</f>
        <v>Green</v>
      </c>
      <c r="C24" s="2" cm="1">
        <f t="array" ref="C24">IF(MaxIndex &gt; 0,MIN(INDEX(PlayerHandicaps,SUMPRODUCT((PlayerPlayerNo=(ROUNDUP((ROW()-3.5)/4,0)))*ROW(PlayerHandicaps))-1),MaxIndex),INDEX(PlayerHandicaps,SUMPRODUCT((PlayerPlayerNo=(ROUNDUP((ROW()-3.5)/4,0)))*ROW(PlayerHandicaps))-1))</f>
        <v>12.2</v>
      </c>
      <c r="D24" s="2" cm="1">
        <f t="array" ref="D24">IF(C24="","",IF(C24=0,0,IF(INDEX(PlayerGender,SUMPRODUCT((PlayerPlayerNo=(ROUNDUP((ROW()-3.5)/4,0)))*ROW(PlayerGender))-1)="M",ROUND((C24*(HLOOKUP(B24,MensTees,2,FALSE)/113))+(HLOOKUP(B24,MensTees,3,FALSE)-HLOOKUP(B24,MensTees,4,FALSE)),0),ROUND((C24*(HLOOKUP(B24,WomenTees,2,FALSE)/113))+(HLOOKUP(B24,WomenTees,3,FALSE)-HLOOKUP(B24,WomenTees,4,FALSE)),0))))</f>
        <v>13</v>
      </c>
      <c r="E24" s="2">
        <f>IF(A25 = "Solo",D24,ROUND(D24*HandicapAllowance,0))</f>
        <v>13</v>
      </c>
      <c r="F24" s="6" cm="1">
        <f t="array" ref="F24">INDEX(HoleHandicapM,F$2,0)</f>
        <v>5</v>
      </c>
      <c r="G24" s="6" cm="1">
        <f t="array" ref="G24">INDEX(HoleHandicapM,G$2,0)</f>
        <v>17</v>
      </c>
      <c r="H24" s="6" cm="1">
        <f t="array" ref="H24">INDEX(HoleHandicapM,H$2,0)</f>
        <v>11</v>
      </c>
      <c r="I24" s="6" cm="1">
        <f t="array" ref="I24">INDEX(HoleHandicapM,I$2,0)</f>
        <v>3</v>
      </c>
      <c r="J24" s="6" cm="1">
        <f t="array" ref="J24">INDEX(HoleHandicapM,J$2,0)</f>
        <v>13</v>
      </c>
      <c r="K24" s="6" cm="1">
        <f t="array" ref="K24">INDEX(HoleHandicapM,K$2,0)</f>
        <v>15</v>
      </c>
      <c r="L24" s="6" cm="1">
        <f t="array" ref="L24">INDEX(HoleHandicapM,L$2,0)</f>
        <v>1</v>
      </c>
      <c r="M24" s="6" cm="1">
        <f t="array" ref="M24">INDEX(HoleHandicapM,M$2,0)</f>
        <v>9</v>
      </c>
      <c r="N24" s="6" cm="1">
        <f t="array" ref="N24">INDEX(HoleHandicapM,N$2,0)</f>
        <v>7</v>
      </c>
      <c r="P24" s="6" cm="1">
        <f t="array" ref="P24">INDEX(HoleHandicapM,P$2,0)</f>
        <v>12</v>
      </c>
      <c r="Q24" s="6" cm="1">
        <f t="array" ref="Q24">INDEX(HoleHandicapM,Q$2,0)</f>
        <v>6</v>
      </c>
      <c r="R24" s="6" cm="1">
        <f t="array" ref="R24">INDEX(HoleHandicapM,R$2,0)</f>
        <v>2</v>
      </c>
      <c r="S24" s="6" cm="1">
        <f t="array" ref="S24">INDEX(HoleHandicapM,S$2,0)</f>
        <v>8</v>
      </c>
      <c r="T24" s="6" cm="1">
        <f t="array" ref="T24">INDEX(HoleHandicapM,T$2,0)</f>
        <v>14</v>
      </c>
      <c r="U24" s="6" cm="1">
        <f t="array" ref="U24">INDEX(HoleHandicapM,U$2,0)</f>
        <v>16</v>
      </c>
      <c r="V24" s="6" cm="1">
        <f t="array" ref="V24">INDEX(HoleHandicapM,V$2,0)</f>
        <v>18</v>
      </c>
      <c r="W24" s="6" cm="1">
        <f t="array" ref="W24">INDEX(HoleHandicapM,W$2,0)</f>
        <v>10</v>
      </c>
      <c r="X24" s="6" cm="1">
        <f t="array" ref="X24">INDEX(HoleHandicapM,X$2,0)</f>
        <v>4</v>
      </c>
      <c r="Y24" s="6"/>
      <c r="Z24" s="2"/>
    </row>
    <row r="25" spans="1:26" ht="15.75" customHeight="1" x14ac:dyDescent="0.2">
      <c r="A25" s="2" t="str" cm="1">
        <f t="array" ref="A25">_xlfn.CONCAT(INDEX(PlayerNames,SUMPRODUCT((PlayerPlayerNo=(ROUNDUP((ROW()-3.5)/4,0)))*ROW(PlayerNames))-1)," Gross")</f>
        <v>Rob Franco Gross</v>
      </c>
      <c r="B25" s="2"/>
      <c r="C25" s="2"/>
      <c r="D25" s="2"/>
      <c r="E25" s="2"/>
      <c r="F25" s="2">
        <v>5</v>
      </c>
      <c r="G25" s="2">
        <v>6</v>
      </c>
      <c r="H25" s="2">
        <v>4</v>
      </c>
      <c r="I25" s="2">
        <v>6</v>
      </c>
      <c r="J25" s="2">
        <v>5</v>
      </c>
      <c r="K25" s="2">
        <v>5</v>
      </c>
      <c r="L25" s="2">
        <v>7</v>
      </c>
      <c r="M25" s="2">
        <v>5</v>
      </c>
      <c r="N25" s="2">
        <v>5</v>
      </c>
      <c r="O25" s="7">
        <f>IF(SUM(F25:N25)&gt;0,SUM(F25:N25),"")</f>
        <v>48</v>
      </c>
      <c r="P25" s="2">
        <v>3</v>
      </c>
      <c r="Q25" s="2">
        <v>5</v>
      </c>
      <c r="R25" s="2">
        <v>6</v>
      </c>
      <c r="S25" s="2">
        <v>5</v>
      </c>
      <c r="T25" s="2">
        <v>5</v>
      </c>
      <c r="U25" s="2">
        <v>4</v>
      </c>
      <c r="V25" s="2">
        <v>4</v>
      </c>
      <c r="W25" s="2">
        <v>4</v>
      </c>
      <c r="X25" s="2">
        <v>5</v>
      </c>
      <c r="Y25" s="7">
        <f>IF(SUM(P25:X25)&gt;0,SUM(P25:X25),"")</f>
        <v>41</v>
      </c>
      <c r="Z25" s="7">
        <f>IF((SUM(F25:N25)+SUM(P25:X25))&gt;0,SUM(F25:N25)+SUM(P25:X25),"")</f>
        <v>89</v>
      </c>
    </row>
    <row r="26" spans="1:26" ht="15.75" customHeight="1" x14ac:dyDescent="0.2">
      <c r="A26" s="2" t="str" cm="1">
        <f t="array" ref="A26">_xlfn.CONCAT(INDEX(PlayerNames,SUMPRODUCT((PlayerPlayerNo=(ROUNDUP((ROW()-3.5)/4,0)))*ROW(PlayerNames))-1)," Handicap Strokes")</f>
        <v>Rob Franco Handicap Strokes</v>
      </c>
      <c r="B26" s="2"/>
      <c r="C26" s="2"/>
      <c r="D26" s="2"/>
      <c r="E26" s="2"/>
      <c r="F26" s="7">
        <f>ROUNDDOWN($E24/18,0)+IF(MOD($E24,18)&gt;=F24,1,0)</f>
        <v>1</v>
      </c>
      <c r="G26" s="7">
        <f t="shared" ref="G26:N26" si="35">ROUNDDOWN($E24/18,0)+IF(MOD($E24,18)&gt;=G24,1,0)</f>
        <v>0</v>
      </c>
      <c r="H26" s="7">
        <f t="shared" si="35"/>
        <v>1</v>
      </c>
      <c r="I26" s="7">
        <f t="shared" si="35"/>
        <v>1</v>
      </c>
      <c r="J26" s="7">
        <f t="shared" si="35"/>
        <v>1</v>
      </c>
      <c r="K26" s="7">
        <f t="shared" si="35"/>
        <v>0</v>
      </c>
      <c r="L26" s="7">
        <f t="shared" si="35"/>
        <v>1</v>
      </c>
      <c r="M26" s="7">
        <f t="shared" si="35"/>
        <v>1</v>
      </c>
      <c r="N26" s="7">
        <f t="shared" si="35"/>
        <v>1</v>
      </c>
      <c r="O26" s="7">
        <f t="shared" ref="O26:O27" si="36">IF(OR(ISBLANK(F26),F26=""),"",SUM(F26:N26))</f>
        <v>7</v>
      </c>
      <c r="P26" s="7">
        <f t="shared" ref="P26:X26" si="37">ROUNDDOWN($E24/18,0)+IF(MOD($E24,18)&gt;=P24,1,0)</f>
        <v>1</v>
      </c>
      <c r="Q26" s="7">
        <f t="shared" si="37"/>
        <v>1</v>
      </c>
      <c r="R26" s="7">
        <f t="shared" si="37"/>
        <v>1</v>
      </c>
      <c r="S26" s="7">
        <f t="shared" si="37"/>
        <v>1</v>
      </c>
      <c r="T26" s="7">
        <f t="shared" si="37"/>
        <v>0</v>
      </c>
      <c r="U26" s="7">
        <f t="shared" si="37"/>
        <v>0</v>
      </c>
      <c r="V26" s="7">
        <f t="shared" si="37"/>
        <v>0</v>
      </c>
      <c r="W26" s="7">
        <f t="shared" si="37"/>
        <v>1</v>
      </c>
      <c r="X26" s="7">
        <f t="shared" si="37"/>
        <v>1</v>
      </c>
      <c r="Y26" s="7">
        <f t="shared" ref="Y26:Y27" si="38">IF(OR(ISBLANK(P26),P26=""),"",SUM(P26:X26))</f>
        <v>6</v>
      </c>
      <c r="Z26" s="7">
        <f t="shared" ref="Z26:Z27" si="39">IF(OR(ISBLANK(F26),F26=""),"",SUM(F26:N26)+SUM(P26:X26))</f>
        <v>13</v>
      </c>
    </row>
    <row r="27" spans="1:26" x14ac:dyDescent="0.2">
      <c r="A27" s="2" t="str" cm="1">
        <f t="array" ref="A27">_xlfn.CONCAT(INDEX(PlayerNames,SUMPRODUCT((PlayerPlayerNo=(ROUNDUP((ROW()-3.5)/4,0)))*ROW(PlayerNames))-1)," Net")</f>
        <v>Rob Franco Net</v>
      </c>
      <c r="B27" s="2"/>
      <c r="C27" s="2"/>
      <c r="D27" s="2"/>
      <c r="E27" s="2"/>
      <c r="F27" s="7">
        <f t="shared" ref="F27:N27" si="40">IF(F25-F26&gt;0,F25-F26,"")</f>
        <v>4</v>
      </c>
      <c r="G27" s="7">
        <f t="shared" si="40"/>
        <v>6</v>
      </c>
      <c r="H27" s="7">
        <f t="shared" si="40"/>
        <v>3</v>
      </c>
      <c r="I27" s="7">
        <f t="shared" si="40"/>
        <v>5</v>
      </c>
      <c r="J27" s="7">
        <f t="shared" si="40"/>
        <v>4</v>
      </c>
      <c r="K27" s="7">
        <f t="shared" si="40"/>
        <v>5</v>
      </c>
      <c r="L27" s="7">
        <f t="shared" si="40"/>
        <v>6</v>
      </c>
      <c r="M27" s="7">
        <f t="shared" si="40"/>
        <v>4</v>
      </c>
      <c r="N27" s="7">
        <f t="shared" si="40"/>
        <v>4</v>
      </c>
      <c r="O27" s="7">
        <f t="shared" si="36"/>
        <v>41</v>
      </c>
      <c r="P27" s="7">
        <f t="shared" ref="P27:X27" si="41">IF(P25-P26&gt;0,P25-P26,"")</f>
        <v>2</v>
      </c>
      <c r="Q27" s="7">
        <f t="shared" si="41"/>
        <v>4</v>
      </c>
      <c r="R27" s="7">
        <f t="shared" si="41"/>
        <v>5</v>
      </c>
      <c r="S27" s="7">
        <f t="shared" si="41"/>
        <v>4</v>
      </c>
      <c r="T27" s="7">
        <f t="shared" si="41"/>
        <v>5</v>
      </c>
      <c r="U27" s="7">
        <f t="shared" si="41"/>
        <v>4</v>
      </c>
      <c r="V27" s="7">
        <f t="shared" si="41"/>
        <v>4</v>
      </c>
      <c r="W27" s="7">
        <f t="shared" si="41"/>
        <v>3</v>
      </c>
      <c r="X27" s="7">
        <f t="shared" si="41"/>
        <v>4</v>
      </c>
      <c r="Y27" s="7">
        <f t="shared" si="38"/>
        <v>35</v>
      </c>
      <c r="Z27" s="7">
        <f t="shared" si="39"/>
        <v>76</v>
      </c>
    </row>
    <row r="28" spans="1:26" x14ac:dyDescent="0.2">
      <c r="A28" s="2" t="str" cm="1">
        <f t="array" ref="A28">INDEX(PlayerNames,SUMPRODUCT((PlayerPlayerNo=(ROUNDUP((ROW()-3.5)/4,0)))*ROW(PlayerNames))-1)</f>
        <v>Jerry Ohu</v>
      </c>
      <c r="B28" s="2" t="str" cm="1">
        <f t="array" ref="B28">INDEX(PlayerTees,SUMPRODUCT((PlayerPlayerNo=(ROUNDUP((ROW()-3.5)/4,0)))*ROW(PlayerNames))-1)</f>
        <v>Green</v>
      </c>
      <c r="C28" s="2" cm="1">
        <f t="array" ref="C28">IF(MaxIndex &gt; 0,MIN(INDEX(PlayerHandicaps,SUMPRODUCT((PlayerPlayerNo=(ROUNDUP((ROW()-3.5)/4,0)))*ROW(PlayerHandicaps))-1),MaxIndex),INDEX(PlayerHandicaps,SUMPRODUCT((PlayerPlayerNo=(ROUNDUP((ROW()-3.5)/4,0)))*ROW(PlayerHandicaps))-1))</f>
        <v>12.6</v>
      </c>
      <c r="D28" s="2" cm="1">
        <f t="array" ref="D28">IF(C28="","",IF(C28=0,0,IF(INDEX(PlayerGender,SUMPRODUCT((PlayerPlayerNo=(ROUNDUP((ROW()-3.5)/4,0)))*ROW(PlayerGender))-1)="M",ROUND((C28*(HLOOKUP(B28,MensTees,2,FALSE)/113))+(HLOOKUP(B28,MensTees,3,FALSE)-HLOOKUP(B28,MensTees,4,FALSE)),0),ROUND((C28*(HLOOKUP(B28,WomenTees,2,FALSE)/113))+(HLOOKUP(B28,WomenTees,3,FALSE)-HLOOKUP(B28,WomenTees,4,FALSE)),0))))</f>
        <v>13</v>
      </c>
      <c r="E28" s="2">
        <f>IF(A29 = "Solo",D28,ROUND(D28*HandicapAllowance,0))</f>
        <v>13</v>
      </c>
      <c r="F28" s="6" cm="1">
        <f t="array" ref="F28">INDEX(HoleHandicapM,F$2,0)</f>
        <v>5</v>
      </c>
      <c r="G28" s="6" cm="1">
        <f t="array" ref="G28">INDEX(HoleHandicapM,G$2,0)</f>
        <v>17</v>
      </c>
      <c r="H28" s="6" cm="1">
        <f t="array" ref="H28">INDEX(HoleHandicapM,H$2,0)</f>
        <v>11</v>
      </c>
      <c r="I28" s="6" cm="1">
        <f t="array" ref="I28">INDEX(HoleHandicapM,I$2,0)</f>
        <v>3</v>
      </c>
      <c r="J28" s="6" cm="1">
        <f t="array" ref="J28">INDEX(HoleHandicapM,J$2,0)</f>
        <v>13</v>
      </c>
      <c r="K28" s="6" cm="1">
        <f t="array" ref="K28">INDEX(HoleHandicapM,K$2,0)</f>
        <v>15</v>
      </c>
      <c r="L28" s="6" cm="1">
        <f t="array" ref="L28">INDEX(HoleHandicapM,L$2,0)</f>
        <v>1</v>
      </c>
      <c r="M28" s="6" cm="1">
        <f t="array" ref="M28">INDEX(HoleHandicapM,M$2,0)</f>
        <v>9</v>
      </c>
      <c r="N28" s="6" cm="1">
        <f t="array" ref="N28">INDEX(HoleHandicapM,N$2,0)</f>
        <v>7</v>
      </c>
      <c r="P28" s="6" cm="1">
        <f t="array" ref="P28">INDEX(HoleHandicapM,P$2,0)</f>
        <v>12</v>
      </c>
      <c r="Q28" s="6" cm="1">
        <f t="array" ref="Q28">INDEX(HoleHandicapM,Q$2,0)</f>
        <v>6</v>
      </c>
      <c r="R28" s="6" cm="1">
        <f t="array" ref="R28">INDEX(HoleHandicapM,R$2,0)</f>
        <v>2</v>
      </c>
      <c r="S28" s="6" cm="1">
        <f t="array" ref="S28">INDEX(HoleHandicapM,S$2,0)</f>
        <v>8</v>
      </c>
      <c r="T28" s="6" cm="1">
        <f t="array" ref="T28">INDEX(HoleHandicapM,T$2,0)</f>
        <v>14</v>
      </c>
      <c r="U28" s="6" cm="1">
        <f t="array" ref="U28">INDEX(HoleHandicapM,U$2,0)</f>
        <v>16</v>
      </c>
      <c r="V28" s="6" cm="1">
        <f t="array" ref="V28">INDEX(HoleHandicapM,V$2,0)</f>
        <v>18</v>
      </c>
      <c r="W28" s="6" cm="1">
        <f t="array" ref="W28">INDEX(HoleHandicapM,W$2,0)</f>
        <v>10</v>
      </c>
      <c r="X28" s="6" cm="1">
        <f t="array" ref="X28">INDEX(HoleHandicapM,X$2,0)</f>
        <v>4</v>
      </c>
      <c r="Y28" s="6"/>
      <c r="Z28" s="2"/>
    </row>
    <row r="29" spans="1:26" x14ac:dyDescent="0.2">
      <c r="A29" s="2" t="str" cm="1">
        <f t="array" ref="A29">_xlfn.CONCAT(INDEX(PlayerNames,SUMPRODUCT((PlayerPlayerNo=(ROUNDUP((ROW()-3.5)/4,0)))*ROW(PlayerNames))-1)," Gross")</f>
        <v>Jerry Ohu Gross</v>
      </c>
      <c r="B29" s="2"/>
      <c r="C29" s="2"/>
      <c r="D29" s="2"/>
      <c r="E29" s="2"/>
      <c r="F29" s="2">
        <v>6</v>
      </c>
      <c r="G29" s="2">
        <v>6</v>
      </c>
      <c r="H29" s="2">
        <v>4</v>
      </c>
      <c r="I29" s="2">
        <v>6</v>
      </c>
      <c r="J29" s="2">
        <v>5</v>
      </c>
      <c r="K29" s="2">
        <v>5</v>
      </c>
      <c r="L29" s="2">
        <v>6</v>
      </c>
      <c r="M29" s="2">
        <v>5</v>
      </c>
      <c r="N29" s="2">
        <v>6</v>
      </c>
      <c r="O29" s="7">
        <f>IF(SUM(F29:N29)&gt;0,SUM(F29:N29),"")</f>
        <v>49</v>
      </c>
      <c r="P29" s="2">
        <v>4</v>
      </c>
      <c r="Q29" s="2">
        <v>3</v>
      </c>
      <c r="R29" s="2">
        <v>6</v>
      </c>
      <c r="S29" s="2">
        <v>5</v>
      </c>
      <c r="T29" s="2">
        <v>6</v>
      </c>
      <c r="U29" s="2">
        <v>5</v>
      </c>
      <c r="V29" s="2">
        <v>6</v>
      </c>
      <c r="W29" s="2">
        <v>3</v>
      </c>
      <c r="X29" s="2">
        <v>7</v>
      </c>
      <c r="Y29" s="7">
        <f>IF(SUM(P21:X21)&gt;0,SUM(P21:X21),"")</f>
        <v>50</v>
      </c>
      <c r="Z29" s="7">
        <f>IF((SUM(F29:N29)+SUM(P29:X29))&gt;0,SUM(F29:N29)+SUM(P29:X29),"")</f>
        <v>94</v>
      </c>
    </row>
    <row r="30" spans="1:26" x14ac:dyDescent="0.2">
      <c r="A30" s="2" t="str" cm="1">
        <f t="array" ref="A30">_xlfn.CONCAT(INDEX(PlayerNames,SUMPRODUCT((PlayerPlayerNo=(ROUNDUP((ROW()-3.5)/4,0)))*ROW(PlayerNames))-1)," Handicap Strokes")</f>
        <v>Jerry Ohu Handicap Strokes</v>
      </c>
      <c r="B30" s="2"/>
      <c r="C30" s="2"/>
      <c r="D30" s="2"/>
      <c r="E30" s="2"/>
      <c r="F30" s="7">
        <f>ROUNDDOWN($E28/18,0)+IF(MOD($E28,18)&gt;=F28,1,0)</f>
        <v>1</v>
      </c>
      <c r="G30" s="7">
        <f t="shared" ref="G30:N30" si="42">ROUNDDOWN($E28/18,0)+IF(MOD($E28,18)&gt;=G28,1,0)</f>
        <v>0</v>
      </c>
      <c r="H30" s="7">
        <f t="shared" si="42"/>
        <v>1</v>
      </c>
      <c r="I30" s="7">
        <f t="shared" si="42"/>
        <v>1</v>
      </c>
      <c r="J30" s="7">
        <f t="shared" si="42"/>
        <v>1</v>
      </c>
      <c r="K30" s="7">
        <f t="shared" si="42"/>
        <v>0</v>
      </c>
      <c r="L30" s="7">
        <f t="shared" si="42"/>
        <v>1</v>
      </c>
      <c r="M30" s="7">
        <f t="shared" si="42"/>
        <v>1</v>
      </c>
      <c r="N30" s="7">
        <f t="shared" si="42"/>
        <v>1</v>
      </c>
      <c r="O30" s="7">
        <f t="shared" ref="O30:O31" si="43">IF(OR(ISBLANK(F30),F30=""),"",SUM(F30:N30))</f>
        <v>7</v>
      </c>
      <c r="P30" s="7">
        <f t="shared" ref="P30:X30" si="44">ROUNDDOWN($E28/18,0)+IF(MOD($E28,18)&gt;=P28,1,0)</f>
        <v>1</v>
      </c>
      <c r="Q30" s="7">
        <f t="shared" si="44"/>
        <v>1</v>
      </c>
      <c r="R30" s="7">
        <f t="shared" si="44"/>
        <v>1</v>
      </c>
      <c r="S30" s="7">
        <f t="shared" si="44"/>
        <v>1</v>
      </c>
      <c r="T30" s="7">
        <f t="shared" si="44"/>
        <v>0</v>
      </c>
      <c r="U30" s="7">
        <f t="shared" si="44"/>
        <v>0</v>
      </c>
      <c r="V30" s="7">
        <f t="shared" si="44"/>
        <v>0</v>
      </c>
      <c r="W30" s="7">
        <f t="shared" si="44"/>
        <v>1</v>
      </c>
      <c r="X30" s="7">
        <f t="shared" si="44"/>
        <v>1</v>
      </c>
      <c r="Y30" s="7">
        <f t="shared" ref="Y30:Y31" si="45">IF(OR(ISBLANK(P30),P30=""),"",SUM(P30:X30))</f>
        <v>6</v>
      </c>
      <c r="Z30" s="7">
        <f t="shared" ref="Z30:Z31" si="46">IF(OR(ISBLANK(F30),F30=""),"",SUM(F30:N30)+SUM(P30:X30))</f>
        <v>13</v>
      </c>
    </row>
    <row r="31" spans="1:26" x14ac:dyDescent="0.2">
      <c r="A31" s="2" t="str" cm="1">
        <f t="array" ref="A31">_xlfn.CONCAT(INDEX(PlayerNames,SUMPRODUCT((PlayerPlayerNo=(ROUNDUP((ROW()-3.5)/4,0)))*ROW(PlayerNames))-1)," Net")</f>
        <v>Jerry Ohu Net</v>
      </c>
      <c r="B31" s="2"/>
      <c r="C31" s="2"/>
      <c r="D31" s="2"/>
      <c r="E31" s="2"/>
      <c r="F31" s="7">
        <f t="shared" ref="F31:N31" si="47">IF(F29-F30&gt;0,F29-F30,"")</f>
        <v>5</v>
      </c>
      <c r="G31" s="7">
        <f t="shared" si="47"/>
        <v>6</v>
      </c>
      <c r="H31" s="7">
        <f t="shared" si="47"/>
        <v>3</v>
      </c>
      <c r="I31" s="7">
        <f t="shared" si="47"/>
        <v>5</v>
      </c>
      <c r="J31" s="7">
        <f t="shared" si="47"/>
        <v>4</v>
      </c>
      <c r="K31" s="7">
        <f t="shared" si="47"/>
        <v>5</v>
      </c>
      <c r="L31" s="7">
        <f t="shared" si="47"/>
        <v>5</v>
      </c>
      <c r="M31" s="7">
        <f t="shared" si="47"/>
        <v>4</v>
      </c>
      <c r="N31" s="7">
        <f t="shared" si="47"/>
        <v>5</v>
      </c>
      <c r="O31" s="7">
        <f t="shared" si="43"/>
        <v>42</v>
      </c>
      <c r="P31" s="7">
        <f t="shared" ref="P31:X31" si="48">IF(P29-P30&gt;0,P29-P30,"")</f>
        <v>3</v>
      </c>
      <c r="Q31" s="7">
        <f t="shared" si="48"/>
        <v>2</v>
      </c>
      <c r="R31" s="7">
        <f t="shared" si="48"/>
        <v>5</v>
      </c>
      <c r="S31" s="7">
        <f t="shared" si="48"/>
        <v>4</v>
      </c>
      <c r="T31" s="7">
        <f t="shared" si="48"/>
        <v>6</v>
      </c>
      <c r="U31" s="7">
        <f t="shared" si="48"/>
        <v>5</v>
      </c>
      <c r="V31" s="7">
        <f t="shared" si="48"/>
        <v>6</v>
      </c>
      <c r="W31" s="7">
        <f t="shared" si="48"/>
        <v>2</v>
      </c>
      <c r="X31" s="7">
        <f t="shared" si="48"/>
        <v>6</v>
      </c>
      <c r="Y31" s="7">
        <f>IF(SUM(P31:X31)&gt;0,SUM(P31:X31),"")</f>
        <v>39</v>
      </c>
      <c r="Z31" s="7">
        <f t="shared" si="46"/>
        <v>81</v>
      </c>
    </row>
    <row r="32" spans="1:26" x14ac:dyDescent="0.2">
      <c r="A32" s="2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x14ac:dyDescent="0.2">
      <c r="A33" s="2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x14ac:dyDescent="0.2">
      <c r="A34" s="2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x14ac:dyDescent="0.2">
      <c r="A35" s="2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x14ac:dyDescent="0.2">
      <c r="A36" s="2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x14ac:dyDescent="0.2">
      <c r="A37" s="2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ht="15.75" customHeight="1" x14ac:dyDescent="0.2">
      <c r="A38" s="2"/>
      <c r="B38" s="2"/>
      <c r="C38" s="2"/>
      <c r="D38" s="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ht="15.75" customHeight="1" x14ac:dyDescent="0.2">
      <c r="A39" s="2"/>
      <c r="B39" s="2"/>
      <c r="C39" s="2"/>
      <c r="D39" s="3"/>
      <c r="E39" s="4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x14ac:dyDescent="0.2">
      <c r="A42" s="2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2"/>
    </row>
    <row r="43" spans="1:22" x14ac:dyDescent="0.2">
      <c r="A43" s="2"/>
      <c r="B43" s="6"/>
      <c r="C43" s="6"/>
      <c r="D43" s="6"/>
      <c r="E43" s="6"/>
      <c r="F43" s="6"/>
      <c r="G43" s="6"/>
      <c r="H43" s="6"/>
      <c r="I43" s="6"/>
      <c r="J43" s="6"/>
      <c r="K43" s="7"/>
      <c r="L43" s="6"/>
      <c r="M43" s="6"/>
      <c r="N43" s="6"/>
      <c r="O43" s="6"/>
      <c r="P43" s="6"/>
      <c r="Q43" s="6"/>
      <c r="R43" s="6"/>
      <c r="S43" s="6"/>
      <c r="T43" s="6"/>
      <c r="U43" s="7"/>
      <c r="V43" s="7"/>
    </row>
    <row r="44" spans="1:22" x14ac:dyDescent="0.2">
      <c r="A44" s="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2"/>
    </row>
    <row r="45" spans="1:22" x14ac:dyDescent="0.2">
      <c r="A45" s="2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 spans="1:22" x14ac:dyDescent="0.2">
      <c r="A46" s="2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 spans="1:22" x14ac:dyDescent="0.2">
      <c r="A47" s="2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2" x14ac:dyDescent="0.2">
      <c r="A48" s="2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x14ac:dyDescent="0.2">
      <c r="A49" s="2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x14ac:dyDescent="0.2">
      <c r="A50" s="2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 spans="1:22" x14ac:dyDescent="0.2">
      <c r="A51" s="2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 spans="1:22" ht="15.75" customHeight="1" x14ac:dyDescent="0.2">
      <c r="A52" s="2"/>
      <c r="B52" s="2"/>
      <c r="C52" s="2"/>
      <c r="D52" s="4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ht="15.75" customHeight="1" x14ac:dyDescent="0.2">
      <c r="A53" s="2"/>
      <c r="B53" s="2"/>
      <c r="C53" s="2"/>
      <c r="D53" s="3"/>
      <c r="E53" s="4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spans="1:22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spans="1:22" x14ac:dyDescent="0.2">
      <c r="A56" s="2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2"/>
    </row>
    <row r="57" spans="1:22" x14ac:dyDescent="0.2">
      <c r="A57" s="2"/>
      <c r="B57" s="6"/>
      <c r="C57" s="6"/>
      <c r="D57" s="6"/>
      <c r="E57" s="6"/>
      <c r="F57" s="6"/>
      <c r="G57" s="6"/>
      <c r="H57" s="6"/>
      <c r="I57" s="6"/>
      <c r="J57" s="6"/>
      <c r="K57" s="7"/>
      <c r="L57" s="6"/>
      <c r="M57" s="6"/>
      <c r="N57" s="6"/>
      <c r="O57" s="6"/>
      <c r="P57" s="6"/>
      <c r="Q57" s="6"/>
      <c r="R57" s="6"/>
      <c r="S57" s="6"/>
      <c r="T57" s="6"/>
      <c r="U57" s="7"/>
      <c r="V57" s="7"/>
    </row>
    <row r="58" spans="1:22" x14ac:dyDescent="0.2">
      <c r="A58" s="2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2"/>
    </row>
    <row r="59" spans="1:22" x14ac:dyDescent="0.2">
      <c r="A59" s="2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 spans="1:22" x14ac:dyDescent="0.2">
      <c r="A60" s="2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 spans="1:22" x14ac:dyDescent="0.2">
      <c r="A61" s="2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x14ac:dyDescent="0.2">
      <c r="A62" s="2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 spans="1:22" x14ac:dyDescent="0.2">
      <c r="A63" s="2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 spans="1:22" x14ac:dyDescent="0.2">
      <c r="A64" s="2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2" x14ac:dyDescent="0.2">
      <c r="A65" s="2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 spans="1:22" x14ac:dyDescent="0.2">
      <c r="A66" s="2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x14ac:dyDescent="0.2">
      <c r="A67" s="2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 spans="1:22" x14ac:dyDescent="0.2">
      <c r="A68" s="2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 spans="1:22" ht="15.75" customHeight="1" x14ac:dyDescent="0.2">
      <c r="A69" s="2"/>
      <c r="B69" s="2"/>
      <c r="C69" s="2"/>
      <c r="D69" s="4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spans="1:22" ht="15.75" customHeight="1" x14ac:dyDescent="0.2">
      <c r="A70" s="2"/>
      <c r="B70" s="2"/>
      <c r="C70" s="2"/>
      <c r="D70" s="3"/>
      <c r="E70" s="4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spans="1:22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spans="1:22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x14ac:dyDescent="0.2">
      <c r="A73" s="2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2"/>
    </row>
    <row r="74" spans="1:22" x14ac:dyDescent="0.2">
      <c r="A74" s="2"/>
      <c r="B74" s="6"/>
      <c r="C74" s="6"/>
      <c r="D74" s="6"/>
      <c r="E74" s="6"/>
      <c r="F74" s="6"/>
      <c r="G74" s="6"/>
      <c r="H74" s="6"/>
      <c r="I74" s="6"/>
      <c r="J74" s="6"/>
      <c r="K74" s="7"/>
      <c r="L74" s="6"/>
      <c r="M74" s="6"/>
      <c r="N74" s="6"/>
      <c r="O74" s="6"/>
      <c r="P74" s="6"/>
      <c r="Q74" s="6"/>
      <c r="R74" s="6"/>
      <c r="S74" s="6"/>
      <c r="T74" s="6"/>
      <c r="U74" s="7"/>
      <c r="V74" s="7"/>
    </row>
    <row r="75" spans="1:22" x14ac:dyDescent="0.2">
      <c r="A75" s="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2"/>
    </row>
    <row r="76" spans="1:22" x14ac:dyDescent="0.2">
      <c r="A76" s="2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 x14ac:dyDescent="0.2">
      <c r="A77" s="2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 spans="1:22" x14ac:dyDescent="0.2">
      <c r="A78" s="2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x14ac:dyDescent="0.2">
      <c r="A79" s="2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x14ac:dyDescent="0.2">
      <c r="A80" s="2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x14ac:dyDescent="0.2">
      <c r="A81" s="2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 spans="1:22" x14ac:dyDescent="0.2">
      <c r="A82" s="2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 spans="1:22" ht="15.75" customHeight="1" x14ac:dyDescent="0.2">
      <c r="A83" s="2"/>
      <c r="B83" s="2"/>
      <c r="C83" s="2"/>
      <c r="D83" s="4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ht="15.75" customHeight="1" x14ac:dyDescent="0.2">
      <c r="A84" s="2"/>
      <c r="B84" s="2"/>
      <c r="C84" s="2"/>
      <c r="D84" s="3"/>
      <c r="E84" s="4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x14ac:dyDescent="0.2">
      <c r="A87" s="2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2"/>
    </row>
    <row r="88" spans="1:22" x14ac:dyDescent="0.2">
      <c r="A88" s="2"/>
      <c r="B88" s="6"/>
      <c r="C88" s="6"/>
      <c r="D88" s="6"/>
      <c r="E88" s="6"/>
      <c r="F88" s="6"/>
      <c r="G88" s="6"/>
      <c r="H88" s="6"/>
      <c r="I88" s="6"/>
      <c r="J88" s="6"/>
      <c r="K88" s="7"/>
      <c r="L88" s="6"/>
      <c r="M88" s="6"/>
      <c r="N88" s="6"/>
      <c r="O88" s="6"/>
      <c r="P88" s="6"/>
      <c r="Q88" s="6"/>
      <c r="R88" s="6"/>
      <c r="S88" s="6"/>
      <c r="T88" s="6"/>
      <c r="U88" s="7"/>
      <c r="V88" s="7"/>
    </row>
    <row r="89" spans="1:22" x14ac:dyDescent="0.2">
      <c r="A89" s="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2"/>
    </row>
    <row r="90" spans="1:22" x14ac:dyDescent="0.2">
      <c r="A90" s="2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x14ac:dyDescent="0.2">
      <c r="A91" s="2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x14ac:dyDescent="0.2">
      <c r="A92" s="2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x14ac:dyDescent="0.2">
      <c r="A93" s="2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x14ac:dyDescent="0.2">
      <c r="A94" s="2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x14ac:dyDescent="0.2">
      <c r="A95" s="2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x14ac:dyDescent="0.2">
      <c r="A96" s="2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x14ac:dyDescent="0.2">
      <c r="A97" s="2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x14ac:dyDescent="0.2">
      <c r="A98" s="2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x14ac:dyDescent="0.2">
      <c r="A99" s="2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ht="15.75" customHeight="1" x14ac:dyDescent="0.2">
      <c r="A100" s="2"/>
      <c r="B100" s="2"/>
      <c r="C100" s="2"/>
      <c r="D100" s="4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 ht="15.75" customHeight="1" x14ac:dyDescent="0.2">
      <c r="A101" s="2"/>
      <c r="B101" s="2"/>
      <c r="C101" s="2"/>
      <c r="D101" s="3"/>
      <c r="E101" s="4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x14ac:dyDescent="0.2">
      <c r="A104" s="2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2"/>
    </row>
    <row r="105" spans="1:22" x14ac:dyDescent="0.2">
      <c r="A105" s="2"/>
      <c r="B105" s="6"/>
      <c r="C105" s="6"/>
      <c r="D105" s="6"/>
      <c r="E105" s="6"/>
      <c r="F105" s="6"/>
      <c r="G105" s="6"/>
      <c r="H105" s="6"/>
      <c r="I105" s="6"/>
      <c r="J105" s="6"/>
      <c r="K105" s="7"/>
      <c r="L105" s="6"/>
      <c r="M105" s="6"/>
      <c r="N105" s="6"/>
      <c r="O105" s="6"/>
      <c r="P105" s="6"/>
      <c r="Q105" s="6"/>
      <c r="R105" s="6"/>
      <c r="S105" s="6"/>
      <c r="T105" s="6"/>
      <c r="U105" s="7"/>
      <c r="V105" s="7"/>
    </row>
    <row r="106" spans="1:22" x14ac:dyDescent="0.2">
      <c r="A106" s="2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2"/>
    </row>
    <row r="107" spans="1:22" x14ac:dyDescent="0.2">
      <c r="A107" s="2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x14ac:dyDescent="0.2">
      <c r="A108" s="2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x14ac:dyDescent="0.2">
      <c r="A109" s="2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x14ac:dyDescent="0.2">
      <c r="A110" s="2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x14ac:dyDescent="0.2">
      <c r="A111" s="2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x14ac:dyDescent="0.2">
      <c r="A112" s="2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x14ac:dyDescent="0.2">
      <c r="A113" s="2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x14ac:dyDescent="0.2">
      <c r="A114" s="2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x14ac:dyDescent="0.2">
      <c r="A115" s="2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</sheetData>
  <conditionalFormatting sqref="A21:X21 Z21 A22:Z31 A4:Z20">
    <cfRule type="expression" dxfId="0" priority="1">
      <formula>MOD(ROUNDUP((ROW()-3.5)/4,0),2)=0</formula>
    </cfRule>
  </conditionalFormatting>
  <printOptions gridLines="1"/>
  <pageMargins left="0.2" right="0.2" top="0.2" bottom="0.2" header="0" footer="0"/>
  <pageSetup scale="88" fitToHeight="0" orientation="landscape" r:id="rId1"/>
  <rowBreaks count="3" manualBreakCount="3">
    <brk id="24" max="21" man="1"/>
    <brk id="51" max="21" man="1"/>
    <brk id="82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I9"/>
  <sheetViews>
    <sheetView workbookViewId="0">
      <selection activeCell="F5" sqref="F5"/>
    </sheetView>
  </sheetViews>
  <sheetFormatPr defaultRowHeight="15" x14ac:dyDescent="0.2"/>
  <cols>
    <col min="1" max="1" width="16.0078125" customWidth="1"/>
    <col min="6" max="6" width="13.71875" bestFit="1" customWidth="1"/>
    <col min="7" max="7" width="10.625" bestFit="1" customWidth="1"/>
    <col min="9" max="9" width="10.625" bestFit="1" customWidth="1"/>
  </cols>
  <sheetData>
    <row r="1" spans="1:9" x14ac:dyDescent="0.2">
      <c r="B1" t="s">
        <v>5</v>
      </c>
      <c r="C1" t="s">
        <v>6</v>
      </c>
      <c r="D1" t="s">
        <v>15</v>
      </c>
      <c r="E1" t="s">
        <v>34</v>
      </c>
      <c r="F1" t="s">
        <v>51</v>
      </c>
      <c r="G1" t="s">
        <v>24</v>
      </c>
      <c r="H1" t="s">
        <v>25</v>
      </c>
    </row>
    <row r="2" spans="1:9" x14ac:dyDescent="0.2">
      <c r="A2" t="s">
        <v>2</v>
      </c>
      <c r="B2">
        <v>28.7</v>
      </c>
      <c r="C2">
        <v>1</v>
      </c>
      <c r="D2" t="s">
        <v>16</v>
      </c>
      <c r="E2" t="s">
        <v>27</v>
      </c>
      <c r="F2" s="8">
        <v>15</v>
      </c>
      <c r="G2" t="s">
        <v>26</v>
      </c>
      <c r="H2" t="s">
        <v>26</v>
      </c>
    </row>
    <row r="3" spans="1:9" x14ac:dyDescent="0.2">
      <c r="A3" t="s">
        <v>4</v>
      </c>
      <c r="B3">
        <v>7</v>
      </c>
      <c r="C3">
        <v>2</v>
      </c>
      <c r="D3" t="s">
        <v>16</v>
      </c>
      <c r="E3" t="s">
        <v>45</v>
      </c>
      <c r="F3" s="8">
        <v>15</v>
      </c>
      <c r="G3" t="s">
        <v>26</v>
      </c>
      <c r="H3" t="s">
        <v>26</v>
      </c>
    </row>
    <row r="4" spans="1:9" x14ac:dyDescent="0.2">
      <c r="A4" t="s">
        <v>48</v>
      </c>
      <c r="B4">
        <v>20</v>
      </c>
      <c r="C4">
        <v>3</v>
      </c>
      <c r="D4" t="s">
        <v>52</v>
      </c>
      <c r="E4" t="s">
        <v>47</v>
      </c>
      <c r="F4" s="8">
        <v>15</v>
      </c>
      <c r="G4" t="s">
        <v>26</v>
      </c>
      <c r="H4" t="s">
        <v>26</v>
      </c>
    </row>
    <row r="5" spans="1:9" x14ac:dyDescent="0.2">
      <c r="A5" t="s">
        <v>1</v>
      </c>
      <c r="B5">
        <v>12</v>
      </c>
      <c r="C5">
        <v>4</v>
      </c>
      <c r="D5" t="s">
        <v>16</v>
      </c>
      <c r="E5" t="s">
        <v>27</v>
      </c>
      <c r="F5" s="8">
        <v>15</v>
      </c>
      <c r="G5" t="s">
        <v>26</v>
      </c>
      <c r="H5" t="s">
        <v>26</v>
      </c>
    </row>
    <row r="6" spans="1:9" x14ac:dyDescent="0.2">
      <c r="A6" t="s">
        <v>49</v>
      </c>
      <c r="B6">
        <v>35.799999999999997</v>
      </c>
      <c r="C6">
        <v>5</v>
      </c>
      <c r="D6" t="s">
        <v>16</v>
      </c>
      <c r="E6" t="s">
        <v>46</v>
      </c>
      <c r="F6" s="8">
        <v>15</v>
      </c>
      <c r="G6" t="s">
        <v>26</v>
      </c>
      <c r="H6" t="s">
        <v>26</v>
      </c>
    </row>
    <row r="7" spans="1:9" x14ac:dyDescent="0.2">
      <c r="A7" t="s">
        <v>50</v>
      </c>
      <c r="B7">
        <v>12.2</v>
      </c>
      <c r="C7">
        <v>6</v>
      </c>
      <c r="D7" t="s">
        <v>16</v>
      </c>
      <c r="E7" t="s">
        <v>45</v>
      </c>
      <c r="F7" s="8">
        <v>15</v>
      </c>
      <c r="G7" t="s">
        <v>26</v>
      </c>
      <c r="H7" t="s">
        <v>26</v>
      </c>
    </row>
    <row r="8" spans="1:9" x14ac:dyDescent="0.2">
      <c r="A8" t="s">
        <v>3</v>
      </c>
      <c r="B8">
        <v>12.6</v>
      </c>
      <c r="C8">
        <v>7</v>
      </c>
      <c r="D8" t="s">
        <v>16</v>
      </c>
      <c r="E8" t="s">
        <v>45</v>
      </c>
      <c r="F8" s="8">
        <v>15</v>
      </c>
      <c r="G8" t="s">
        <v>26</v>
      </c>
      <c r="H8" t="s">
        <v>26</v>
      </c>
    </row>
    <row r="9" spans="1:9" x14ac:dyDescent="0.2">
      <c r="G9" s="11">
        <f>COUNTA(G2:G8)*108</f>
        <v>756</v>
      </c>
      <c r="H9" s="11">
        <f>COUNTA(H2:H8)*23</f>
        <v>161</v>
      </c>
      <c r="I9" s="12">
        <f>SUM(G9:H9)</f>
        <v>917</v>
      </c>
    </row>
  </sheetData>
  <sortState xmlns:xlrd2="http://schemas.microsoft.com/office/spreadsheetml/2017/richdata2" ref="A2:C8">
    <sortCondition ref="C2:C8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L50"/>
  <sheetViews>
    <sheetView workbookViewId="0">
      <selection activeCell="D10" sqref="D10"/>
    </sheetView>
  </sheetViews>
  <sheetFormatPr defaultRowHeight="15" x14ac:dyDescent="0.2"/>
  <cols>
    <col min="1" max="1" width="26.09765625" bestFit="1" customWidth="1"/>
    <col min="9" max="9" width="11.97265625" bestFit="1" customWidth="1"/>
  </cols>
  <sheetData>
    <row r="1" spans="1:12" x14ac:dyDescent="0.2">
      <c r="A1" t="s">
        <v>7</v>
      </c>
      <c r="B1" t="s">
        <v>53</v>
      </c>
      <c r="I1" t="s">
        <v>28</v>
      </c>
      <c r="J1" t="s">
        <v>28</v>
      </c>
      <c r="K1" t="s">
        <v>29</v>
      </c>
      <c r="L1" t="s">
        <v>29</v>
      </c>
    </row>
    <row r="2" spans="1:12" x14ac:dyDescent="0.2">
      <c r="A2" t="s">
        <v>8</v>
      </c>
      <c r="B2" t="s">
        <v>45</v>
      </c>
      <c r="C2" t="s">
        <v>27</v>
      </c>
      <c r="D2" t="s">
        <v>46</v>
      </c>
      <c r="H2" t="s">
        <v>30</v>
      </c>
      <c r="I2" t="s">
        <v>31</v>
      </c>
      <c r="J2" t="s">
        <v>32</v>
      </c>
      <c r="K2" t="s">
        <v>31</v>
      </c>
      <c r="L2" t="s">
        <v>32</v>
      </c>
    </row>
    <row r="3" spans="1:12" x14ac:dyDescent="0.2">
      <c r="A3" t="s">
        <v>9</v>
      </c>
      <c r="B3">
        <v>126</v>
      </c>
      <c r="C3">
        <v>118</v>
      </c>
      <c r="D3">
        <v>117</v>
      </c>
      <c r="H3">
        <v>1</v>
      </c>
      <c r="I3">
        <v>5</v>
      </c>
      <c r="J3">
        <v>4</v>
      </c>
      <c r="K3">
        <v>13</v>
      </c>
      <c r="L3">
        <v>4</v>
      </c>
    </row>
    <row r="4" spans="1:12" x14ac:dyDescent="0.2">
      <c r="A4" t="s">
        <v>10</v>
      </c>
      <c r="B4">
        <v>70.900000000000006</v>
      </c>
      <c r="C4">
        <v>69.099999999999994</v>
      </c>
      <c r="D4">
        <v>65.599999999999994</v>
      </c>
      <c r="H4">
        <v>2</v>
      </c>
      <c r="I4">
        <v>17</v>
      </c>
      <c r="J4">
        <v>4</v>
      </c>
      <c r="K4">
        <v>7</v>
      </c>
      <c r="L4">
        <v>4</v>
      </c>
    </row>
    <row r="5" spans="1:12" x14ac:dyDescent="0.2">
      <c r="A5" t="s">
        <v>12</v>
      </c>
      <c r="B5">
        <v>72</v>
      </c>
      <c r="C5">
        <v>72</v>
      </c>
      <c r="D5">
        <v>72</v>
      </c>
      <c r="H5">
        <v>3</v>
      </c>
      <c r="I5">
        <v>11</v>
      </c>
      <c r="J5">
        <v>3</v>
      </c>
      <c r="K5">
        <v>15</v>
      </c>
      <c r="L5">
        <v>3</v>
      </c>
    </row>
    <row r="6" spans="1:12" x14ac:dyDescent="0.2">
      <c r="A6" t="s">
        <v>19</v>
      </c>
      <c r="B6" t="s">
        <v>47</v>
      </c>
      <c r="H6">
        <v>4</v>
      </c>
      <c r="I6">
        <v>3</v>
      </c>
      <c r="J6">
        <v>5</v>
      </c>
      <c r="K6">
        <v>3</v>
      </c>
      <c r="L6">
        <v>5</v>
      </c>
    </row>
    <row r="7" spans="1:12" x14ac:dyDescent="0.2">
      <c r="A7" t="s">
        <v>11</v>
      </c>
      <c r="B7">
        <v>132</v>
      </c>
      <c r="H7">
        <v>5</v>
      </c>
      <c r="I7">
        <v>13</v>
      </c>
      <c r="J7">
        <v>4</v>
      </c>
      <c r="K7">
        <v>11</v>
      </c>
      <c r="L7">
        <v>4</v>
      </c>
    </row>
    <row r="8" spans="1:12" x14ac:dyDescent="0.2">
      <c r="A8" t="s">
        <v>13</v>
      </c>
      <c r="B8">
        <v>69.400000000000006</v>
      </c>
      <c r="H8">
        <v>6</v>
      </c>
      <c r="I8">
        <v>15</v>
      </c>
      <c r="J8">
        <v>4</v>
      </c>
      <c r="K8">
        <v>9</v>
      </c>
      <c r="L8">
        <v>4</v>
      </c>
    </row>
    <row r="9" spans="1:12" x14ac:dyDescent="0.2">
      <c r="A9" t="s">
        <v>14</v>
      </c>
      <c r="B9">
        <v>72</v>
      </c>
      <c r="H9">
        <v>7</v>
      </c>
      <c r="I9">
        <v>1</v>
      </c>
      <c r="J9">
        <v>5</v>
      </c>
      <c r="K9">
        <v>1</v>
      </c>
      <c r="L9">
        <v>5</v>
      </c>
    </row>
    <row r="10" spans="1:12" x14ac:dyDescent="0.2">
      <c r="A10" t="s">
        <v>17</v>
      </c>
      <c r="B10" s="1">
        <v>1</v>
      </c>
      <c r="H10">
        <v>8</v>
      </c>
      <c r="I10">
        <v>9</v>
      </c>
      <c r="J10">
        <v>3</v>
      </c>
      <c r="K10">
        <v>17</v>
      </c>
      <c r="L10">
        <v>3</v>
      </c>
    </row>
    <row r="11" spans="1:12" x14ac:dyDescent="0.2">
      <c r="A11" t="s">
        <v>37</v>
      </c>
      <c r="B11">
        <v>36</v>
      </c>
      <c r="H11">
        <v>9</v>
      </c>
      <c r="I11">
        <v>7</v>
      </c>
      <c r="J11">
        <v>4</v>
      </c>
      <c r="K11">
        <v>5</v>
      </c>
      <c r="L11">
        <v>4</v>
      </c>
    </row>
    <row r="12" spans="1:12" x14ac:dyDescent="0.2">
      <c r="A12" s="10" t="s">
        <v>21</v>
      </c>
      <c r="H12">
        <v>10</v>
      </c>
      <c r="I12">
        <v>12</v>
      </c>
      <c r="J12">
        <v>4</v>
      </c>
      <c r="K12">
        <v>14</v>
      </c>
      <c r="L12">
        <v>4</v>
      </c>
    </row>
    <row r="13" spans="1:12" x14ac:dyDescent="0.2">
      <c r="A13" t="s">
        <v>22</v>
      </c>
      <c r="B13" s="8">
        <f>SUM(EntryFees)</f>
        <v>105</v>
      </c>
      <c r="H13">
        <v>11</v>
      </c>
      <c r="I13">
        <v>6</v>
      </c>
      <c r="J13">
        <v>4</v>
      </c>
      <c r="K13">
        <v>10</v>
      </c>
      <c r="L13">
        <v>4</v>
      </c>
    </row>
    <row r="14" spans="1:12" x14ac:dyDescent="0.2">
      <c r="A14" t="s">
        <v>39</v>
      </c>
      <c r="B14" t="s">
        <v>23</v>
      </c>
      <c r="H14">
        <v>12</v>
      </c>
      <c r="I14">
        <v>2</v>
      </c>
      <c r="J14">
        <v>5</v>
      </c>
      <c r="K14">
        <v>2</v>
      </c>
      <c r="L14">
        <v>5</v>
      </c>
    </row>
    <row r="15" spans="1:12" x14ac:dyDescent="0.2">
      <c r="A15">
        <v>1</v>
      </c>
      <c r="B15" s="15">
        <v>0.33329999999999999</v>
      </c>
      <c r="H15">
        <v>13</v>
      </c>
      <c r="I15">
        <v>8</v>
      </c>
      <c r="J15">
        <v>3</v>
      </c>
      <c r="K15">
        <v>18</v>
      </c>
      <c r="L15">
        <v>3</v>
      </c>
    </row>
    <row r="16" spans="1:12" x14ac:dyDescent="0.2">
      <c r="A16">
        <v>2</v>
      </c>
      <c r="B16" s="15">
        <v>0</v>
      </c>
      <c r="H16">
        <v>14</v>
      </c>
      <c r="I16">
        <v>14</v>
      </c>
      <c r="J16">
        <v>4</v>
      </c>
      <c r="K16">
        <v>6</v>
      </c>
      <c r="L16">
        <v>4</v>
      </c>
    </row>
    <row r="17" spans="1:12" x14ac:dyDescent="0.2">
      <c r="A17">
        <v>3</v>
      </c>
      <c r="B17" s="15">
        <v>0</v>
      </c>
      <c r="H17">
        <v>15</v>
      </c>
      <c r="I17">
        <v>16</v>
      </c>
      <c r="J17">
        <v>4</v>
      </c>
      <c r="K17">
        <v>12</v>
      </c>
      <c r="L17">
        <v>4</v>
      </c>
    </row>
    <row r="18" spans="1:12" x14ac:dyDescent="0.2">
      <c r="A18">
        <v>4</v>
      </c>
      <c r="B18" s="15">
        <v>0</v>
      </c>
      <c r="H18">
        <v>16</v>
      </c>
      <c r="I18">
        <v>18</v>
      </c>
      <c r="J18">
        <v>4</v>
      </c>
      <c r="K18">
        <v>8</v>
      </c>
      <c r="L18">
        <v>4</v>
      </c>
    </row>
    <row r="19" spans="1:12" x14ac:dyDescent="0.2">
      <c r="A19">
        <v>5</v>
      </c>
      <c r="B19" s="15">
        <v>0</v>
      </c>
      <c r="H19">
        <v>17</v>
      </c>
      <c r="I19">
        <v>10</v>
      </c>
      <c r="J19">
        <v>3</v>
      </c>
      <c r="K19">
        <v>16</v>
      </c>
      <c r="L19">
        <v>3</v>
      </c>
    </row>
    <row r="20" spans="1:12" x14ac:dyDescent="0.2">
      <c r="A20">
        <v>6</v>
      </c>
      <c r="B20" s="15">
        <v>0</v>
      </c>
      <c r="H20">
        <v>18</v>
      </c>
      <c r="I20">
        <v>4</v>
      </c>
      <c r="J20">
        <v>5</v>
      </c>
      <c r="K20">
        <v>4</v>
      </c>
      <c r="L20">
        <v>5</v>
      </c>
    </row>
    <row r="21" spans="1:12" x14ac:dyDescent="0.2">
      <c r="A21">
        <v>7</v>
      </c>
      <c r="B21" s="15">
        <v>0</v>
      </c>
      <c r="H21" t="s">
        <v>33</v>
      </c>
      <c r="I21">
        <f>SUM(I3:I20)</f>
        <v>171</v>
      </c>
      <c r="J21">
        <f>SUM(J3:J20)</f>
        <v>72</v>
      </c>
      <c r="K21">
        <f>SUM(K3:K20)</f>
        <v>171</v>
      </c>
      <c r="L21">
        <f>SUM(L3:L20)</f>
        <v>72</v>
      </c>
    </row>
    <row r="22" spans="1:12" x14ac:dyDescent="0.2">
      <c r="A22">
        <v>8</v>
      </c>
      <c r="B22" s="15">
        <v>0</v>
      </c>
    </row>
    <row r="23" spans="1:12" x14ac:dyDescent="0.2">
      <c r="A23">
        <v>9</v>
      </c>
      <c r="B23" s="15">
        <v>0</v>
      </c>
    </row>
    <row r="24" spans="1:12" x14ac:dyDescent="0.2">
      <c r="A24">
        <v>10</v>
      </c>
      <c r="B24" s="15">
        <v>0</v>
      </c>
    </row>
    <row r="27" spans="1:12" x14ac:dyDescent="0.2">
      <c r="A27" t="s">
        <v>40</v>
      </c>
      <c r="B27" t="s">
        <v>23</v>
      </c>
    </row>
    <row r="28" spans="1:12" x14ac:dyDescent="0.2">
      <c r="A28">
        <v>1</v>
      </c>
      <c r="B28" s="15">
        <v>0.33329999999999999</v>
      </c>
    </row>
    <row r="29" spans="1:12" x14ac:dyDescent="0.2">
      <c r="A29">
        <v>2</v>
      </c>
      <c r="B29" s="15">
        <v>0</v>
      </c>
    </row>
    <row r="30" spans="1:12" x14ac:dyDescent="0.2">
      <c r="A30">
        <v>3</v>
      </c>
      <c r="B30" s="15">
        <v>0</v>
      </c>
    </row>
    <row r="31" spans="1:12" x14ac:dyDescent="0.2">
      <c r="A31">
        <v>4</v>
      </c>
      <c r="B31" s="15">
        <v>0</v>
      </c>
    </row>
    <row r="32" spans="1:12" x14ac:dyDescent="0.2">
      <c r="A32">
        <v>5</v>
      </c>
      <c r="B32" s="15">
        <v>0</v>
      </c>
    </row>
    <row r="33" spans="1:2" x14ac:dyDescent="0.2">
      <c r="A33">
        <v>6</v>
      </c>
      <c r="B33" s="15">
        <v>0</v>
      </c>
    </row>
    <row r="34" spans="1:2" x14ac:dyDescent="0.2">
      <c r="A34">
        <v>7</v>
      </c>
      <c r="B34" s="15">
        <v>0</v>
      </c>
    </row>
    <row r="35" spans="1:2" x14ac:dyDescent="0.2">
      <c r="A35">
        <v>8</v>
      </c>
      <c r="B35" s="15">
        <v>0</v>
      </c>
    </row>
    <row r="36" spans="1:2" x14ac:dyDescent="0.2">
      <c r="A36">
        <v>9</v>
      </c>
      <c r="B36" s="15">
        <v>0</v>
      </c>
    </row>
    <row r="37" spans="1:2" x14ac:dyDescent="0.2">
      <c r="A37">
        <v>10</v>
      </c>
      <c r="B37" s="15">
        <v>0</v>
      </c>
    </row>
    <row r="40" spans="1:2" x14ac:dyDescent="0.2">
      <c r="A40" t="s">
        <v>41</v>
      </c>
      <c r="B40" t="s">
        <v>23</v>
      </c>
    </row>
    <row r="41" spans="1:2" x14ac:dyDescent="0.2">
      <c r="A41">
        <v>1</v>
      </c>
      <c r="B41" s="15">
        <v>0.33329999999999999</v>
      </c>
    </row>
    <row r="42" spans="1:2" x14ac:dyDescent="0.2">
      <c r="A42">
        <v>2</v>
      </c>
      <c r="B42" s="15">
        <v>0</v>
      </c>
    </row>
    <row r="43" spans="1:2" x14ac:dyDescent="0.2">
      <c r="A43">
        <v>3</v>
      </c>
      <c r="B43" s="15">
        <v>0</v>
      </c>
    </row>
    <row r="44" spans="1:2" x14ac:dyDescent="0.2">
      <c r="A44">
        <v>4</v>
      </c>
      <c r="B44" s="15">
        <v>0</v>
      </c>
    </row>
    <row r="45" spans="1:2" x14ac:dyDescent="0.2">
      <c r="A45">
        <v>5</v>
      </c>
      <c r="B45" s="15">
        <v>0</v>
      </c>
    </row>
    <row r="46" spans="1:2" x14ac:dyDescent="0.2">
      <c r="A46">
        <v>6</v>
      </c>
      <c r="B46" s="15">
        <v>0</v>
      </c>
    </row>
    <row r="47" spans="1:2" x14ac:dyDescent="0.2">
      <c r="A47">
        <v>7</v>
      </c>
      <c r="B47" s="15">
        <v>0</v>
      </c>
    </row>
    <row r="48" spans="1:2" x14ac:dyDescent="0.2">
      <c r="A48">
        <v>8</v>
      </c>
      <c r="B48" s="15">
        <v>0</v>
      </c>
    </row>
    <row r="49" spans="1:2" x14ac:dyDescent="0.2">
      <c r="A49">
        <v>9</v>
      </c>
      <c r="B49" s="15">
        <v>0</v>
      </c>
    </row>
    <row r="50" spans="1:2" x14ac:dyDescent="0.2">
      <c r="A50">
        <v>10</v>
      </c>
      <c r="B50" s="15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6236C-7006-4C49-BAFC-A24DD9C20460}">
  <dimension ref="B1:R11"/>
  <sheetViews>
    <sheetView workbookViewId="0">
      <selection activeCell="R10" sqref="R10"/>
    </sheetView>
  </sheetViews>
  <sheetFormatPr defaultRowHeight="15" x14ac:dyDescent="0.2"/>
  <cols>
    <col min="2" max="2" width="15.46875" bestFit="1" customWidth="1"/>
    <col min="8" max="8" width="15.46875" bestFit="1" customWidth="1"/>
    <col min="14" max="14" width="15.46875" bestFit="1" customWidth="1"/>
    <col min="20" max="20" width="14.390625" bestFit="1" customWidth="1"/>
  </cols>
  <sheetData>
    <row r="1" spans="2:18" x14ac:dyDescent="0.2">
      <c r="B1" t="s">
        <v>38</v>
      </c>
      <c r="I1" t="s">
        <v>42</v>
      </c>
      <c r="O1" t="s">
        <v>43</v>
      </c>
    </row>
    <row r="2" spans="2:18" x14ac:dyDescent="0.2">
      <c r="B2" s="14" t="str" cm="1">
        <f t="array" ref="B2:C8">_xlfn._xlws.SORT(_xlfn._xlws.FILTER(_xlfn._xlws.FILTER('2022 USAFA SIlver Scoresheet'!$A$4:$Z$31,ISNUMBER(FIND("Net",'2022 USAFA SIlver Scoresheet'!$A$4:$A$31))*NOT('2022 USAFA SIlver Scoresheet'!$O$4:$O$31=""),""),{1,0,0,0,0,0,0,0,0,0,0,0,0,0,1,0,0,0,0,0,0,0,0,0,0,0},""),2)</f>
        <v>Jordan Moon Net</v>
      </c>
      <c r="C2">
        <v>33</v>
      </c>
      <c r="D2">
        <f>IF(ISNA(_xlfn.RANK.EQ(C2,$C$2:$C$10,1)),"",_xlfn.RANK.EQ(C2,$C$2:$C$10,1))</f>
        <v>1</v>
      </c>
      <c r="E2" t="str">
        <f>IF(D2="","",IF(COUNTIF($D$2:$D$10,D2)&gt;1,CONCATENATE("T",D2),TEXT(D2,"0")))</f>
        <v>1</v>
      </c>
      <c r="F2" s="13">
        <f t="shared" ref="F2:F11" ca="1" si="0">IF(D2="","",IF(ISNA(VLOOKUP(D2,Front9Payouts,1,FALSE)),0,AVERAGE(OFFSET(Front9Payouts,VLOOKUP(D2,Front9Payouts,1,FALSE)-1,1,COUNTIF(D:D,D2)))*Kitty))</f>
        <v>34.996499999999997</v>
      </c>
      <c r="H2" s="14" t="str" cm="1">
        <f t="array" ref="H2:I8">_xlfn._xlws.SORT(_xlfn._xlws.FILTER(_xlfn._xlws.FILTER('2022 USAFA SIlver Scoresheet'!$A$4:$Z$31,ISNUMBER(FIND("Net",'2022 USAFA SIlver Scoresheet'!$A$4:$A$31))*NOT('2022 USAFA SIlver Scoresheet'!$Y$4:$Y$31=""),""),{1,0,0,0,0,0,0,0,0,0,0,0,0,0,0,0,0,0,0,0,0,0,0,0,1,0},""),2)</f>
        <v>Jordan Moon Net</v>
      </c>
      <c r="I2">
        <v>35</v>
      </c>
      <c r="J2">
        <f>IF(ISNA(_xlfn.RANK.EQ(I2,$I$2:$I$10,1)),"",_xlfn.RANK.EQ(I2,$I$2:$I10,1))</f>
        <v>1</v>
      </c>
      <c r="K2" t="str">
        <f t="shared" ref="K2:K3" si="1">IF(J2="","",IF(COUNTIF($J$2:$J$10,J2)&gt;1,CONCATENATE("T",J2),TEXT(J2,"0")))</f>
        <v>T1</v>
      </c>
      <c r="L2" s="13">
        <f t="shared" ref="L2:L11" ca="1" si="2">IF(J2="","",IF(ISNA(VLOOKUP(J2,Back9Payouts,1,FALSE)),0,AVERAGE(OFFSET(Back9Payouts,VLOOKUP(J2,Back9Payouts,1,FALSE)-1,1,COUNTIF(J:J,J2)))*Kitty))</f>
        <v>11.6655</v>
      </c>
      <c r="N2" s="14" t="str" cm="1">
        <f t="array" ref="N2:O8">_xlfn._xlws.SORT(_xlfn._xlws.FILTER(_xlfn._xlws.FILTER('2022 USAFA SIlver Scoresheet'!$A$4:$Z$31,ISNUMBER(FIND("Net",'2022 USAFA SIlver Scoresheet'!$A$4:$A$31))*NOT('2022 USAFA SIlver Scoresheet'!$Z$4:$Z$31=""),""),{1,0,0,0,0,0,0,0,0,0,0,0,0,0,0,0,0,0,0,0,0,0,0,0,0,1},""),2)</f>
        <v>Jordan Moon Net</v>
      </c>
      <c r="O2">
        <v>68</v>
      </c>
      <c r="P2">
        <f>IF(ISNA(_xlfn.RANK.EQ(O2,$O$2:$O$10,1)),"",_xlfn.RANK.EQ(O2,$O$2:$O10,1))</f>
        <v>1</v>
      </c>
      <c r="Q2" t="str">
        <f>IF(P2="","",IF(COUNTIF($P$2:$P$10,P2)&gt;1,CONCATENATE("T",P2),TEXT(P2,"0")))</f>
        <v>1</v>
      </c>
      <c r="R2" s="13">
        <f t="shared" ref="R2:R8" ca="1" si="3">IF(P2="","",IF(ISNA(VLOOKUP(P2,PlacePayouts,1,FALSE)),0,AVERAGE(OFFSET(PlacePayouts,VLOOKUP(P2,PlacePayouts,1,FALSE)-1,1,COUNTIF(P:P,P2)))*Kitty))</f>
        <v>34.996499999999997</v>
      </c>
    </row>
    <row r="3" spans="2:18" x14ac:dyDescent="0.2">
      <c r="B3" s="9" t="str">
        <v>Ken Moon Net</v>
      </c>
      <c r="C3">
        <v>38</v>
      </c>
      <c r="D3">
        <f t="shared" ref="D3:D11" si="4">IF(ISNA(_xlfn.RANK.EQ(C3,$C$2:$C$10,1)),"",_xlfn.RANK.EQ(C3,$C$2:$C$10,1))</f>
        <v>2</v>
      </c>
      <c r="E3" t="str">
        <f t="shared" ref="E3:E8" si="5">IF(D3="","",IF(COUNTIF($D$2:$D$10,D3)&gt;1,CONCATENATE("T",D3),TEXT(D3,"0")))</f>
        <v>2</v>
      </c>
      <c r="F3" s="13">
        <f t="shared" ca="1" si="0"/>
        <v>0</v>
      </c>
      <c r="H3" t="str">
        <v>Marcus Fast Net</v>
      </c>
      <c r="I3">
        <v>35</v>
      </c>
      <c r="J3">
        <f>IF(ISNA(_xlfn.RANK.EQ(I3,$I$2:$I$10,1)),"",_xlfn.RANK.EQ(I3,$I$2:$I11,1))</f>
        <v>1</v>
      </c>
      <c r="K3" t="str">
        <f t="shared" si="1"/>
        <v>T1</v>
      </c>
      <c r="L3" s="13">
        <f t="shared" ca="1" si="2"/>
        <v>11.6655</v>
      </c>
      <c r="N3" t="str">
        <v>Rob Franco Net</v>
      </c>
      <c r="O3">
        <v>76</v>
      </c>
      <c r="P3">
        <f>IF(ISNA(_xlfn.RANK.EQ(O3,$O$2:$O$10,1)),"",_xlfn.RANK.EQ(O3,$O$2:$O11,1))</f>
        <v>2</v>
      </c>
      <c r="Q3" t="str">
        <f t="shared" ref="Q3:Q8" si="6">IF(P3="","",IF(COUNTIF($P$2:$P$10,P3)&gt;1,CONCATENATE("T",P3),TEXT(P3,"0")))</f>
        <v>2</v>
      </c>
      <c r="R3" s="13">
        <f t="shared" ca="1" si="3"/>
        <v>0</v>
      </c>
    </row>
    <row r="4" spans="2:18" x14ac:dyDescent="0.2">
      <c r="B4" s="9" t="str">
        <v>John Allen Net</v>
      </c>
      <c r="C4">
        <v>40</v>
      </c>
      <c r="D4">
        <f t="shared" si="4"/>
        <v>3</v>
      </c>
      <c r="E4" t="str">
        <f t="shared" si="5"/>
        <v>3</v>
      </c>
      <c r="F4" s="13">
        <f t="shared" ca="1" si="0"/>
        <v>0</v>
      </c>
      <c r="H4" t="str">
        <v>Rob Franco Net</v>
      </c>
      <c r="I4">
        <v>35</v>
      </c>
      <c r="J4">
        <f>IF(ISNA(_xlfn.RANK.EQ(I4,$I$2:$I$10,1)),"",_xlfn.RANK.EQ(I4,$I$2:$I12,1))</f>
        <v>1</v>
      </c>
      <c r="K4" t="str">
        <f>IF(J4="","",IF(COUNTIF($J$2:$J$10,J4)&gt;1,CONCATENATE("T",J4),TEXT(J4,"0")))</f>
        <v>T1</v>
      </c>
      <c r="L4" s="13">
        <f t="shared" ca="1" si="2"/>
        <v>11.6655</v>
      </c>
      <c r="N4" t="str">
        <v>Ken Moon Net</v>
      </c>
      <c r="O4">
        <v>77</v>
      </c>
      <c r="P4">
        <f>IF(ISNA(_xlfn.RANK.EQ(O4,$O$2:$O$10,1)),"",_xlfn.RANK.EQ(O4,$O$2:$O12,1))</f>
        <v>3</v>
      </c>
      <c r="Q4" t="str">
        <f t="shared" si="6"/>
        <v>T3</v>
      </c>
      <c r="R4" s="13">
        <f t="shared" ca="1" si="3"/>
        <v>0</v>
      </c>
    </row>
    <row r="5" spans="2:18" x14ac:dyDescent="0.2">
      <c r="B5" s="9" t="str">
        <v>Curt Balcerzak Net</v>
      </c>
      <c r="C5">
        <v>41</v>
      </c>
      <c r="D5">
        <f t="shared" si="4"/>
        <v>4</v>
      </c>
      <c r="E5" t="str">
        <f t="shared" si="5"/>
        <v>T4</v>
      </c>
      <c r="F5" s="13">
        <f t="shared" ca="1" si="0"/>
        <v>0</v>
      </c>
      <c r="H5" t="str">
        <v>Ken Moon Net</v>
      </c>
      <c r="I5">
        <v>39</v>
      </c>
      <c r="J5">
        <f>IF(ISNA(_xlfn.RANK.EQ(I5,$I$2:$I$10,1)),"",_xlfn.RANK.EQ(I5,$I$2:$I13,1))</f>
        <v>4</v>
      </c>
      <c r="K5" t="str">
        <f t="shared" ref="K5:K11" si="7">IF(J5="","",IF(COUNTIF($J$2:$J$10,J5)&gt;1,CONCATENATE("T",J5),TEXT(J5,"0")))</f>
        <v>T4</v>
      </c>
      <c r="L5" s="13">
        <f t="shared" ca="1" si="2"/>
        <v>0</v>
      </c>
      <c r="N5" t="str">
        <v>Marcus Fast Net</v>
      </c>
      <c r="O5">
        <v>77</v>
      </c>
      <c r="P5">
        <f>IF(ISNA(_xlfn.RANK.EQ(O5,$O$2:$O$10,1)),"",_xlfn.RANK.EQ(O5,$O$2:$O13,1))</f>
        <v>3</v>
      </c>
      <c r="Q5" t="str">
        <f t="shared" si="6"/>
        <v>T3</v>
      </c>
      <c r="R5" s="13">
        <f t="shared" ca="1" si="3"/>
        <v>0</v>
      </c>
    </row>
    <row r="6" spans="2:18" x14ac:dyDescent="0.2">
      <c r="B6" s="9" t="str">
        <v>Rob Franco Net</v>
      </c>
      <c r="C6">
        <v>41</v>
      </c>
      <c r="D6">
        <f t="shared" si="4"/>
        <v>4</v>
      </c>
      <c r="E6" t="str">
        <f t="shared" si="5"/>
        <v>T4</v>
      </c>
      <c r="F6" s="13">
        <f t="shared" ca="1" si="0"/>
        <v>0</v>
      </c>
      <c r="H6" t="str">
        <v>Jerry Ohu Net</v>
      </c>
      <c r="I6">
        <v>39</v>
      </c>
      <c r="J6">
        <f>IF(ISNA(_xlfn.RANK.EQ(I6,$I$2:$I$10,1)),"",_xlfn.RANK.EQ(I6,$I$2:$I14,1))</f>
        <v>4</v>
      </c>
      <c r="K6" t="str">
        <f t="shared" si="7"/>
        <v>T4</v>
      </c>
      <c r="L6" s="13">
        <f t="shared" ca="1" si="2"/>
        <v>0</v>
      </c>
      <c r="N6" t="str">
        <v>Jerry Ohu Net</v>
      </c>
      <c r="O6">
        <v>81</v>
      </c>
      <c r="P6">
        <f>IF(ISNA(_xlfn.RANK.EQ(O6,$O$2:$O$10,1)),"",_xlfn.RANK.EQ(O6,$O$2:$O14,1))</f>
        <v>5</v>
      </c>
      <c r="Q6" t="str">
        <f t="shared" si="6"/>
        <v>5</v>
      </c>
      <c r="R6" s="13">
        <f t="shared" ca="1" si="3"/>
        <v>0</v>
      </c>
    </row>
    <row r="7" spans="2:18" x14ac:dyDescent="0.2">
      <c r="B7" s="9" t="str">
        <v>Marcus Fast Net</v>
      </c>
      <c r="C7">
        <v>42</v>
      </c>
      <c r="D7">
        <f t="shared" si="4"/>
        <v>6</v>
      </c>
      <c r="E7" t="str">
        <f t="shared" si="5"/>
        <v>T6</v>
      </c>
      <c r="F7" s="13">
        <f t="shared" ca="1" si="0"/>
        <v>0</v>
      </c>
      <c r="H7" t="str">
        <v>John Allen Net</v>
      </c>
      <c r="I7">
        <v>42</v>
      </c>
      <c r="J7">
        <f>IF(ISNA(_xlfn.RANK.EQ(I7,$I$2:$I$10,1)),"",_xlfn.RANK.EQ(I7,$I$2:$I15,1))</f>
        <v>6</v>
      </c>
      <c r="K7" t="str">
        <f t="shared" si="7"/>
        <v>6</v>
      </c>
      <c r="L7" s="13">
        <f t="shared" ca="1" si="2"/>
        <v>0</v>
      </c>
      <c r="N7" t="str">
        <v>John Allen Net</v>
      </c>
      <c r="O7">
        <v>82</v>
      </c>
      <c r="P7">
        <f>IF(ISNA(_xlfn.RANK.EQ(O7,$O$2:$O$10,1)),"",_xlfn.RANK.EQ(O7,$O$2:$O15,1))</f>
        <v>6</v>
      </c>
      <c r="Q7" t="str">
        <f t="shared" si="6"/>
        <v>6</v>
      </c>
      <c r="R7" s="13">
        <f t="shared" ca="1" si="3"/>
        <v>0</v>
      </c>
    </row>
    <row r="8" spans="2:18" x14ac:dyDescent="0.2">
      <c r="B8" s="9" t="str">
        <v>Jerry Ohu Net</v>
      </c>
      <c r="C8">
        <v>42</v>
      </c>
      <c r="D8">
        <f t="shared" si="4"/>
        <v>6</v>
      </c>
      <c r="E8" t="str">
        <f t="shared" si="5"/>
        <v>T6</v>
      </c>
      <c r="F8" s="13">
        <f t="shared" ca="1" si="0"/>
        <v>0</v>
      </c>
      <c r="H8" t="str">
        <v>Curt Balcerzak Net</v>
      </c>
      <c r="I8">
        <v>44</v>
      </c>
      <c r="J8">
        <f>IF(ISNA(_xlfn.RANK.EQ(I8,$I$2:$I$10,1)),"",_xlfn.RANK.EQ(I8,$I$2:$I16,1))</f>
        <v>7</v>
      </c>
      <c r="K8" t="str">
        <f t="shared" si="7"/>
        <v>7</v>
      </c>
      <c r="L8" s="13">
        <f t="shared" ca="1" si="2"/>
        <v>0</v>
      </c>
      <c r="N8" t="str">
        <v>Curt Balcerzak Net</v>
      </c>
      <c r="O8">
        <v>85</v>
      </c>
      <c r="P8">
        <f>IF(ISNA(_xlfn.RANK.EQ(O8,$O$2:$O$10,1)),"",_xlfn.RANK.EQ(O8,$O$2:$O16,1))</f>
        <v>7</v>
      </c>
      <c r="Q8" t="str">
        <f t="shared" si="6"/>
        <v>7</v>
      </c>
      <c r="R8" s="13">
        <f t="shared" ca="1" si="3"/>
        <v>0</v>
      </c>
    </row>
    <row r="9" spans="2:18" x14ac:dyDescent="0.2">
      <c r="D9" t="str">
        <f t="shared" si="4"/>
        <v/>
      </c>
      <c r="E9" t="str">
        <f t="shared" ref="E9:E10" si="8">IF(D9="","",IF(COUNTIF($D$2:$D$10,D9)&gt;1,CONCATENATE("T",D9),TEXT(D9,"0")))</f>
        <v/>
      </c>
      <c r="F9" s="13" t="str">
        <f t="shared" ca="1" si="0"/>
        <v/>
      </c>
      <c r="J9" t="str">
        <f>IF(ISNA(_xlfn.RANK.EQ(I9,$I$2:$I$10,1)),"",_xlfn.RANK.EQ(I9,$I$2:$I17,1))</f>
        <v/>
      </c>
      <c r="K9" t="str">
        <f t="shared" si="7"/>
        <v/>
      </c>
      <c r="L9" s="13" t="str">
        <f t="shared" ca="1" si="2"/>
        <v/>
      </c>
      <c r="P9" t="str">
        <f>IF(ISNA(_xlfn.RANK.EQ(O9,$O$2:$O$10,1)),"",_xlfn.RANK.EQ(O9,$O$2:$O17,1))</f>
        <v/>
      </c>
      <c r="Q9" t="str">
        <f t="shared" ref="Q9:Q10" si="9">IF(P9="","",IF(COUNTIF($D$2:$D$10,P9)&gt;1,CONCATENATE("T",P9),TEXT(P9,"0")))</f>
        <v/>
      </c>
      <c r="R9" s="13" t="str">
        <f ca="1">IF(P9="","",IF(ISNA(VLOOKUP(P9,Back9Payouts,1,FALSE)),0,AVERAGE(OFFSET(Back9Payouts,VLOOKUP(P9,Back9Payouts,1,FALSE)-1,1,COUNTIF(P:P,P9)))*Kitty))</f>
        <v/>
      </c>
    </row>
    <row r="10" spans="2:18" x14ac:dyDescent="0.2">
      <c r="D10" t="str">
        <f t="shared" si="4"/>
        <v/>
      </c>
      <c r="E10" t="str">
        <f t="shared" si="8"/>
        <v/>
      </c>
      <c r="F10" s="13" t="str">
        <f t="shared" ca="1" si="0"/>
        <v/>
      </c>
      <c r="J10" t="str">
        <f>IF(ISNA(_xlfn.RANK.EQ(I10,$I$2:$I$10,1)),"",_xlfn.RANK.EQ(I10,$I$2:$I18,1))</f>
        <v/>
      </c>
      <c r="K10" t="str">
        <f t="shared" si="7"/>
        <v/>
      </c>
      <c r="L10" s="13" t="str">
        <f t="shared" ca="1" si="2"/>
        <v/>
      </c>
      <c r="P10" t="str">
        <f>IF(ISNA(_xlfn.RANK.EQ(O10,$O$2:$O$10,1)),"",_xlfn.RANK.EQ(O10,$O$2:$O18,1))</f>
        <v/>
      </c>
      <c r="Q10" t="str">
        <f t="shared" si="9"/>
        <v/>
      </c>
      <c r="R10" s="13" t="str">
        <f ca="1">IF(P10="","",IF(ISNA(VLOOKUP(P10,Back9Payouts,1,FALSE)),0,AVERAGE(OFFSET(Back9Payouts,VLOOKUP(P10,Back9Payouts,1,FALSE)-1,1,COUNTIF(P:P,P10)))*Kitty))</f>
        <v/>
      </c>
    </row>
    <row r="11" spans="2:18" x14ac:dyDescent="0.2">
      <c r="D11" t="str">
        <f t="shared" si="4"/>
        <v/>
      </c>
      <c r="F11" s="13" t="str">
        <f t="shared" ca="1" si="0"/>
        <v/>
      </c>
      <c r="J11" t="str">
        <f>IF(ISNA(_xlfn.RANK.EQ(I11,$I$2:$I$10,1)),"",_xlfn.RANK.EQ(I11,$I$2:$I19,1))</f>
        <v/>
      </c>
      <c r="K11" t="str">
        <f t="shared" si="7"/>
        <v/>
      </c>
      <c r="L11" s="13" t="str">
        <f t="shared" ca="1" si="2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2022 USAFA SIlver Scoresheet</vt:lpstr>
      <vt:lpstr>Players</vt:lpstr>
      <vt:lpstr>Course &amp; Tourney</vt:lpstr>
      <vt:lpstr>Results</vt:lpstr>
      <vt:lpstr>Back9Payouts</vt:lpstr>
      <vt:lpstr>EntryFees</vt:lpstr>
      <vt:lpstr>Front9Payouts</vt:lpstr>
      <vt:lpstr>HandicapAllowance</vt:lpstr>
      <vt:lpstr>HoleHandicapF</vt:lpstr>
      <vt:lpstr>HoleHandicapM</vt:lpstr>
      <vt:lpstr>HoleInfo</vt:lpstr>
      <vt:lpstr>HoleParF</vt:lpstr>
      <vt:lpstr>HoleParM</vt:lpstr>
      <vt:lpstr>Kitty</vt:lpstr>
      <vt:lpstr>MaxIndex</vt:lpstr>
      <vt:lpstr>MensTees</vt:lpstr>
      <vt:lpstr>PlacePayouts</vt:lpstr>
      <vt:lpstr>PlayerGender</vt:lpstr>
      <vt:lpstr>PlayerHandicaps</vt:lpstr>
      <vt:lpstr>PlayerNames</vt:lpstr>
      <vt:lpstr>PlayerPlayerNo</vt:lpstr>
      <vt:lpstr>PlayerTees</vt:lpstr>
      <vt:lpstr>2022 USAFA SIlver Scoresheet!Print_Area</vt:lpstr>
      <vt:lpstr>WomenTees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2022-05-15T04:38:28Z</cp:lastPrinted>
  <dcterms:created xsi:type="dcterms:W3CDTF">2020-11-08T06:36:47Z</dcterms:created>
  <dcterms:modified xsi:type="dcterms:W3CDTF">2022-07-31T06:59:57Z</dcterms:modified>
</cp:coreProperties>
</file>