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d's Gaming PC\Documents\John Personal\"/>
    </mc:Choice>
  </mc:AlternateContent>
  <xr:revisionPtr revIDLastSave="0" documentId="13_ncr:1_{FFF6DAD5-3768-4881-9CB9-BC67A675F32E}" xr6:coauthVersionLast="47" xr6:coauthVersionMax="47" xr10:uidLastSave="{00000000-0000-0000-0000-000000000000}"/>
  <bookViews>
    <workbookView xWindow="-120" yWindow="-120" windowWidth="29040" windowHeight="15840" xr2:uid="{154BBAC1-B773-4CBF-97A2-0D3C1BE39B36}"/>
  </bookViews>
  <sheets>
    <sheet name="2022 March Stableford Scores" sheetId="1" r:id="rId1"/>
    <sheet name="Players" sheetId="2" r:id="rId2"/>
    <sheet name="Course &amp; Tourney" sheetId="3" r:id="rId3"/>
    <sheet name="Par 3 Results" sheetId="4" r:id="rId4"/>
  </sheets>
  <definedNames>
    <definedName name="EntryFees">Players!$F$2:$F$7</definedName>
    <definedName name="Handicap_Allowance">'Course &amp; Tourney'!$B$10</definedName>
    <definedName name="HoleHandicapF">'Course &amp; Tourney'!$I$3:$I$20</definedName>
    <definedName name="HoleHandicapM">'Course &amp; Tourney'!$G$3:$G$20</definedName>
    <definedName name="HoleInfo">'Course &amp; Tourney'!$F$3:$F$20</definedName>
    <definedName name="HoleParF">'Course &amp; Tourney'!$J$3:$J$20</definedName>
    <definedName name="HoleParM">'Course &amp; Tourney'!$H$3:$H$20</definedName>
    <definedName name="Kitty">'Course &amp; Tourney'!$B$14</definedName>
    <definedName name="Max_Handicap">'Course &amp; Tourney'!$B$11</definedName>
    <definedName name="MensTees">'Course &amp; Tourney'!$B$2:$E$5</definedName>
    <definedName name="PlacePayouts">'Course &amp; Tourney'!$A$16:$B$21</definedName>
    <definedName name="PlayerGender">Players!$D$2:$D$7</definedName>
    <definedName name="PlayerHandicaps">Players!$B$2:$B$7</definedName>
    <definedName name="PlayerNames">Players!$A$2:$A$7</definedName>
    <definedName name="PlayerPlayerNo">Players!$C$2:$C$7</definedName>
    <definedName name="PlayersTees">Players!$C$2:$C$7</definedName>
    <definedName name="PlayerTees">Players!$E$2:$E$7</definedName>
    <definedName name="_xlnm.Print_Area" localSheetId="0">'2022 March Stableford Scores'!$A$1:$Y$32</definedName>
    <definedName name="Stableford_Points">'Course &amp; Tourney'!$L$2:$M$15</definedName>
    <definedName name="WomensTees">'Course &amp; Tourney'!$B$6:$E$9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8" i="4" l="1"/>
  <c r="B4" i="4"/>
  <c r="C4" i="4" s="1"/>
  <c r="B3" i="4"/>
  <c r="C7" i="4" s="1"/>
  <c r="C32" i="1" a="1"/>
  <c r="C32" i="1" s="1"/>
  <c r="D32" i="1" a="1"/>
  <c r="D32" i="1" s="1"/>
  <c r="E32" i="1" a="1"/>
  <c r="E32" i="1" s="1"/>
  <c r="F32" i="1" a="1"/>
  <c r="F32" i="1" s="1"/>
  <c r="G32" i="1" a="1"/>
  <c r="G32" i="1" s="1"/>
  <c r="H32" i="1" a="1"/>
  <c r="H32" i="1" s="1"/>
  <c r="I32" i="1" a="1"/>
  <c r="I32" i="1" s="1"/>
  <c r="J32" i="1" a="1"/>
  <c r="J32" i="1" s="1"/>
  <c r="K32" i="1" a="1"/>
  <c r="K32" i="1" s="1"/>
  <c r="L32" i="1" a="1"/>
  <c r="L32" i="1" s="1"/>
  <c r="M32" i="1" a="1"/>
  <c r="M32" i="1" s="1"/>
  <c r="N32" i="1" a="1"/>
  <c r="N32" i="1" s="1"/>
  <c r="P32" i="1" a="1"/>
  <c r="P32" i="1" s="1"/>
  <c r="Q32" i="1" a="1"/>
  <c r="Q32" i="1" s="1"/>
  <c r="R32" i="1" a="1"/>
  <c r="R32" i="1" s="1"/>
  <c r="S32" i="1" a="1"/>
  <c r="S32" i="1" s="1"/>
  <c r="T32" i="1" a="1"/>
  <c r="T32" i="1" s="1"/>
  <c r="C27" i="1" a="1"/>
  <c r="C27" i="1" s="1"/>
  <c r="D27" i="1" a="1"/>
  <c r="D27" i="1" s="1"/>
  <c r="E27" i="1" a="1"/>
  <c r="E27" i="1" s="1"/>
  <c r="F27" i="1" a="1"/>
  <c r="F27" i="1" s="1"/>
  <c r="G27" i="1" a="1"/>
  <c r="G27" i="1" s="1"/>
  <c r="H27" i="1" a="1"/>
  <c r="H27" i="1" s="1"/>
  <c r="I27" i="1" a="1"/>
  <c r="I27" i="1" s="1"/>
  <c r="J27" i="1" a="1"/>
  <c r="J27" i="1" s="1"/>
  <c r="K27" i="1" a="1"/>
  <c r="K27" i="1" s="1"/>
  <c r="L27" i="1" a="1"/>
  <c r="L27" i="1" s="1"/>
  <c r="M27" i="1" a="1"/>
  <c r="M27" i="1" s="1"/>
  <c r="N27" i="1" a="1"/>
  <c r="N27" i="1" s="1"/>
  <c r="O27" i="1" a="1"/>
  <c r="O27" i="1" s="1"/>
  <c r="P27" i="1" a="1"/>
  <c r="P27" i="1" s="1"/>
  <c r="Q27" i="1" a="1"/>
  <c r="Q27" i="1" s="1"/>
  <c r="R27" i="1" a="1"/>
  <c r="R27" i="1" s="1"/>
  <c r="S27" i="1" a="1"/>
  <c r="S27" i="1" s="1"/>
  <c r="T27" i="1" a="1"/>
  <c r="T27" i="1" s="1"/>
  <c r="C22" i="1" a="1"/>
  <c r="C22" i="1" s="1"/>
  <c r="D22" i="1" a="1"/>
  <c r="D22" i="1" s="1"/>
  <c r="E22" i="1" a="1"/>
  <c r="E22" i="1" s="1"/>
  <c r="F22" i="1" a="1"/>
  <c r="F22" i="1" s="1"/>
  <c r="G22" i="1" a="1"/>
  <c r="G22" i="1" s="1"/>
  <c r="H22" i="1" a="1"/>
  <c r="H22" i="1" s="1"/>
  <c r="I22" i="1" a="1"/>
  <c r="I22" i="1" s="1"/>
  <c r="J22" i="1" a="1"/>
  <c r="J22" i="1" s="1"/>
  <c r="K22" i="1" a="1"/>
  <c r="K22" i="1" s="1"/>
  <c r="L22" i="1" a="1"/>
  <c r="L22" i="1" s="1"/>
  <c r="M22" i="1" a="1"/>
  <c r="M22" i="1" s="1"/>
  <c r="N22" i="1" a="1"/>
  <c r="N22" i="1" s="1"/>
  <c r="O22" i="1" a="1"/>
  <c r="O22" i="1" s="1"/>
  <c r="P22" i="1" a="1"/>
  <c r="P22" i="1" s="1"/>
  <c r="Q22" i="1" a="1"/>
  <c r="Q22" i="1" s="1"/>
  <c r="R22" i="1" a="1"/>
  <c r="R22" i="1" s="1"/>
  <c r="S22" i="1" a="1"/>
  <c r="S22" i="1" s="1"/>
  <c r="T22" i="1" a="1"/>
  <c r="T22" i="1" s="1"/>
  <c r="C17" i="1" a="1"/>
  <c r="C17" i="1" s="1"/>
  <c r="D17" i="1" a="1"/>
  <c r="D17" i="1" s="1"/>
  <c r="E17" i="1" a="1"/>
  <c r="E17" i="1" s="1"/>
  <c r="F17" i="1" a="1"/>
  <c r="F17" i="1" s="1"/>
  <c r="G17" i="1" a="1"/>
  <c r="G17" i="1" s="1"/>
  <c r="H17" i="1" a="1"/>
  <c r="H17" i="1" s="1"/>
  <c r="I17" i="1" a="1"/>
  <c r="I17" i="1" s="1"/>
  <c r="J17" i="1" a="1"/>
  <c r="J17" i="1" s="1"/>
  <c r="K17" i="1" a="1"/>
  <c r="K17" i="1" s="1"/>
  <c r="L17" i="1" a="1"/>
  <c r="L17" i="1" s="1"/>
  <c r="M17" i="1" a="1"/>
  <c r="M17" i="1" s="1"/>
  <c r="N17" i="1" a="1"/>
  <c r="N17" i="1" s="1"/>
  <c r="O17" i="1" a="1"/>
  <c r="O17" i="1" s="1"/>
  <c r="P17" i="1" a="1"/>
  <c r="P17" i="1" s="1"/>
  <c r="Q17" i="1" a="1"/>
  <c r="Q17" i="1" s="1"/>
  <c r="R17" i="1" a="1"/>
  <c r="R17" i="1" s="1"/>
  <c r="S17" i="1" a="1"/>
  <c r="S17" i="1" s="1"/>
  <c r="T17" i="1" a="1"/>
  <c r="T17" i="1" s="1"/>
  <c r="C30" i="1"/>
  <c r="D30" i="1" s="1" a="1"/>
  <c r="D30" i="1" s="1"/>
  <c r="C30" i="1" a="1"/>
  <c r="B30" i="1" a="1"/>
  <c r="B30" i="1" s="1"/>
  <c r="A30" i="1" a="1"/>
  <c r="A30" i="1" s="1"/>
  <c r="C25" i="1" a="1"/>
  <c r="C25" i="1" s="1"/>
  <c r="D25" i="1" s="1" a="1"/>
  <c r="D25" i="1" s="1"/>
  <c r="B25" i="1" a="1"/>
  <c r="B25" i="1" s="1"/>
  <c r="A25" i="1" a="1"/>
  <c r="A25" i="1" s="1"/>
  <c r="C20" i="1" a="1"/>
  <c r="C20" i="1" s="1"/>
  <c r="D20" i="1" s="1" a="1"/>
  <c r="D20" i="1" s="1"/>
  <c r="B20" i="1"/>
  <c r="B20" i="1" a="1"/>
  <c r="A20" i="1" a="1"/>
  <c r="A20" i="1"/>
  <c r="A22" i="1" s="1"/>
  <c r="C15" i="1" a="1"/>
  <c r="C15" i="1" s="1"/>
  <c r="D15" i="1" s="1" a="1"/>
  <c r="D15" i="1" s="1"/>
  <c r="B15" i="1" a="1"/>
  <c r="B15" i="1" s="1"/>
  <c r="A15" i="1"/>
  <c r="A17" i="1" s="1"/>
  <c r="A15" i="1" a="1"/>
  <c r="T12" i="1" a="1"/>
  <c r="T12" i="1" s="1"/>
  <c r="S12" i="1" a="1"/>
  <c r="S12" i="1" s="1"/>
  <c r="R12" i="1" a="1"/>
  <c r="R12" i="1"/>
  <c r="Q12" i="1" a="1"/>
  <c r="Q12" i="1" s="1"/>
  <c r="P12" i="1" a="1"/>
  <c r="P12" i="1" s="1"/>
  <c r="O12" i="1" a="1"/>
  <c r="O12" i="1" s="1"/>
  <c r="N12" i="1" a="1"/>
  <c r="N12" i="1"/>
  <c r="M12" i="1" a="1"/>
  <c r="M12" i="1" s="1"/>
  <c r="L12" i="1" a="1"/>
  <c r="L12" i="1" s="1"/>
  <c r="K12" i="1" a="1"/>
  <c r="K12" i="1" s="1"/>
  <c r="J12" i="1" a="1"/>
  <c r="J12" i="1"/>
  <c r="I12" i="1" a="1"/>
  <c r="I12" i="1" s="1"/>
  <c r="H12" i="1" a="1"/>
  <c r="H12" i="1" s="1"/>
  <c r="G12" i="1" a="1"/>
  <c r="G12" i="1" s="1"/>
  <c r="F12" i="1" a="1"/>
  <c r="F12" i="1"/>
  <c r="E12" i="1" a="1"/>
  <c r="E12" i="1" s="1"/>
  <c r="D12" i="1" a="1"/>
  <c r="D12" i="1" s="1"/>
  <c r="C12" i="1" a="1"/>
  <c r="C12" i="1" s="1"/>
  <c r="B10" i="1" a="1"/>
  <c r="B10" i="1"/>
  <c r="C10" i="1" a="1"/>
  <c r="C10" i="1" s="1"/>
  <c r="D10" i="1" s="1" a="1"/>
  <c r="D10" i="1" s="1"/>
  <c r="E10" i="1" s="1"/>
  <c r="F10" i="1" s="1"/>
  <c r="G21" i="3"/>
  <c r="I21" i="3"/>
  <c r="T7" i="1" a="1"/>
  <c r="T7" i="1" s="1"/>
  <c r="S7" i="1" a="1"/>
  <c r="S7" i="1" s="1"/>
  <c r="R7" i="1" a="1"/>
  <c r="R7" i="1" s="1"/>
  <c r="Q7" i="1" a="1"/>
  <c r="Q7" i="1"/>
  <c r="P7" i="1" a="1"/>
  <c r="P7" i="1" s="1"/>
  <c r="O7" i="1" a="1"/>
  <c r="O7" i="1" s="1"/>
  <c r="N7" i="1" a="1"/>
  <c r="N7" i="1" s="1"/>
  <c r="M7" i="1" a="1"/>
  <c r="M7" i="1"/>
  <c r="L7" i="1" a="1"/>
  <c r="L7" i="1" s="1"/>
  <c r="K7" i="1" a="1"/>
  <c r="K7" i="1" s="1"/>
  <c r="J7" i="1" a="1"/>
  <c r="J7" i="1" s="1"/>
  <c r="I7" i="1" a="1"/>
  <c r="I7" i="1"/>
  <c r="H7" i="1" a="1"/>
  <c r="H7" i="1" s="1"/>
  <c r="G7" i="1" a="1"/>
  <c r="G7" i="1" s="1"/>
  <c r="F7" i="1" a="1"/>
  <c r="F7" i="1" s="1"/>
  <c r="E7" i="1" a="1"/>
  <c r="E7" i="1"/>
  <c r="D7" i="1" a="1"/>
  <c r="D7" i="1" s="1"/>
  <c r="C7" i="1" a="1"/>
  <c r="C7" i="1" s="1"/>
  <c r="T5" i="1" a="1"/>
  <c r="T5" i="1" s="1"/>
  <c r="S5" i="1" a="1"/>
  <c r="S5" i="1"/>
  <c r="R5" i="1" a="1"/>
  <c r="R5" i="1" s="1"/>
  <c r="Q5" i="1" a="1"/>
  <c r="Q5" i="1" s="1"/>
  <c r="P5" i="1" a="1"/>
  <c r="P5" i="1" s="1"/>
  <c r="O5" i="1" a="1"/>
  <c r="O5" i="1"/>
  <c r="N5" i="1" a="1"/>
  <c r="N5" i="1" s="1"/>
  <c r="M5" i="1" a="1"/>
  <c r="M5" i="1" s="1"/>
  <c r="L5" i="1" a="1"/>
  <c r="L5" i="1" s="1"/>
  <c r="K5" i="1" a="1"/>
  <c r="K5" i="1"/>
  <c r="J5" i="1" a="1"/>
  <c r="J5" i="1" s="1"/>
  <c r="I5" i="1" a="1"/>
  <c r="I5" i="1" s="1"/>
  <c r="H5" i="1" a="1"/>
  <c r="H5" i="1" s="1"/>
  <c r="G5" i="1" a="1"/>
  <c r="G5" i="1"/>
  <c r="F5" i="1" a="1"/>
  <c r="F5" i="1" s="1"/>
  <c r="E5" i="1" a="1"/>
  <c r="E5" i="1" s="1"/>
  <c r="D5" i="1" a="1"/>
  <c r="D5" i="1" s="1"/>
  <c r="C5" i="1" a="1"/>
  <c r="C5" i="1"/>
  <c r="T6" i="1" a="1"/>
  <c r="T6" i="1" s="1"/>
  <c r="S6" i="1" a="1"/>
  <c r="S6" i="1" s="1"/>
  <c r="R6" i="1" a="1"/>
  <c r="R6" i="1" s="1"/>
  <c r="Q6" i="1" a="1"/>
  <c r="Q6" i="1"/>
  <c r="P6" i="1" a="1"/>
  <c r="P6" i="1" s="1"/>
  <c r="O6" i="1" a="1"/>
  <c r="O6" i="1" s="1"/>
  <c r="N6" i="1" a="1"/>
  <c r="N6" i="1" s="1"/>
  <c r="M6" i="1" a="1"/>
  <c r="M6" i="1"/>
  <c r="L6" i="1" a="1"/>
  <c r="L6" i="1" s="1"/>
  <c r="K6" i="1" a="1"/>
  <c r="K6" i="1" s="1"/>
  <c r="J6" i="1" a="1"/>
  <c r="J6" i="1" s="1"/>
  <c r="I6" i="1" a="1"/>
  <c r="I6" i="1"/>
  <c r="H6" i="1" a="1"/>
  <c r="H6" i="1" s="1"/>
  <c r="G6" i="1" a="1"/>
  <c r="G6" i="1" s="1"/>
  <c r="F6" i="1" a="1"/>
  <c r="F6" i="1" s="1"/>
  <c r="E6" i="1" a="1"/>
  <c r="E6" i="1"/>
  <c r="D6" i="1" a="1"/>
  <c r="D6" i="1" s="1"/>
  <c r="C6" i="1" a="1"/>
  <c r="C6" i="1" s="1"/>
  <c r="T4" i="1" a="1"/>
  <c r="T4" i="1" s="1"/>
  <c r="S4" i="1" a="1"/>
  <c r="S4" i="1"/>
  <c r="R4" i="1" a="1"/>
  <c r="R4" i="1" s="1"/>
  <c r="Q4" i="1" a="1"/>
  <c r="Q4" i="1" s="1"/>
  <c r="P4" i="1" a="1"/>
  <c r="P4" i="1" s="1"/>
  <c r="O4" i="1" a="1"/>
  <c r="O4" i="1"/>
  <c r="N4" i="1" a="1"/>
  <c r="N4" i="1" s="1"/>
  <c r="M4" i="1" a="1"/>
  <c r="M4" i="1" s="1"/>
  <c r="L4" i="1" a="1"/>
  <c r="L4" i="1" s="1"/>
  <c r="K4" i="1" a="1"/>
  <c r="K4" i="1"/>
  <c r="J4" i="1" a="1"/>
  <c r="J4" i="1" s="1"/>
  <c r="I4" i="1" a="1"/>
  <c r="I4" i="1" s="1"/>
  <c r="H4" i="1" a="1"/>
  <c r="H4" i="1" s="1"/>
  <c r="G4" i="1" a="1"/>
  <c r="G4" i="1"/>
  <c r="F4" i="1" a="1"/>
  <c r="F4" i="1" s="1"/>
  <c r="E4" i="1" a="1"/>
  <c r="E4" i="1" s="1"/>
  <c r="D4" i="1" a="1"/>
  <c r="D4" i="1" s="1"/>
  <c r="C4" i="1" a="1"/>
  <c r="C4" i="1"/>
  <c r="U4" i="1" s="1"/>
  <c r="A10" i="1" a="1"/>
  <c r="A10" i="1" s="1"/>
  <c r="U11" i="1"/>
  <c r="A21" i="1"/>
  <c r="A16" i="1"/>
  <c r="J21" i="3"/>
  <c r="H21" i="3"/>
  <c r="B14" i="3"/>
  <c r="C6" i="4" l="1"/>
  <c r="A27" i="1"/>
  <c r="A26" i="1"/>
  <c r="F15" i="1"/>
  <c r="E15" i="1"/>
  <c r="F30" i="1"/>
  <c r="E30" i="1"/>
  <c r="U17" i="1"/>
  <c r="V17" i="1" s="1"/>
  <c r="U22" i="1"/>
  <c r="E20" i="1"/>
  <c r="F20" i="1"/>
  <c r="A31" i="1"/>
  <c r="A32" i="1"/>
  <c r="F25" i="1"/>
  <c r="E25" i="1"/>
  <c r="A11" i="1"/>
  <c r="A12" i="1"/>
  <c r="U6" i="1"/>
  <c r="U12" i="1"/>
  <c r="V12" i="1" s="1"/>
  <c r="U32" i="1"/>
  <c r="V32" i="1" s="1"/>
  <c r="U27" i="1"/>
  <c r="V27" i="1" s="1"/>
  <c r="V22" i="1" l="1"/>
  <c r="W17" i="1"/>
  <c r="Y27" i="1"/>
  <c r="W32" i="1"/>
  <c r="W22" i="1"/>
  <c r="W12" i="1"/>
  <c r="X27" i="1"/>
  <c r="W27" i="1"/>
  <c r="X22" i="1" l="1"/>
  <c r="Y22" i="1"/>
  <c r="X32" i="1"/>
  <c r="Y32" i="1"/>
  <c r="X12" i="1"/>
  <c r="Y12" i="1"/>
  <c r="Y17" i="1"/>
  <c r="X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<sst xmlns="http://schemas.openxmlformats.org/spreadsheetml/2006/main" count="112" uniqueCount="64">
  <si>
    <t>Index</t>
  </si>
  <si>
    <t>Hole</t>
  </si>
  <si>
    <t>John Allen</t>
  </si>
  <si>
    <t>Rank</t>
  </si>
  <si>
    <t>Totals</t>
  </si>
  <si>
    <t>HI</t>
  </si>
  <si>
    <t>Player</t>
  </si>
  <si>
    <t>Course</t>
  </si>
  <si>
    <t>Men's Tee</t>
  </si>
  <si>
    <t>Men's Tee Slope</t>
  </si>
  <si>
    <t>Men's Tee Course Rating</t>
  </si>
  <si>
    <t>Women's Tee Slope</t>
  </si>
  <si>
    <t>Men's Par</t>
  </si>
  <si>
    <t>Women's Tee Course Rating</t>
  </si>
  <si>
    <t>Women's Tee Par</t>
  </si>
  <si>
    <t>Gender for Golf</t>
  </si>
  <si>
    <t>M</t>
  </si>
  <si>
    <t>Handicap Allowance</t>
  </si>
  <si>
    <t>Women's Tee</t>
  </si>
  <si>
    <t>Payout</t>
  </si>
  <si>
    <t>Payouts</t>
  </si>
  <si>
    <t>Kitty</t>
  </si>
  <si>
    <t>Place</t>
  </si>
  <si>
    <t>Amount</t>
  </si>
  <si>
    <t>Scott O'Hare</t>
  </si>
  <si>
    <t>Holes</t>
  </si>
  <si>
    <t>Handicap</t>
  </si>
  <si>
    <t>Par</t>
  </si>
  <si>
    <t>Men's</t>
  </si>
  <si>
    <t>Women's</t>
  </si>
  <si>
    <t>Total</t>
  </si>
  <si>
    <t>Todd Creek Golf Course</t>
  </si>
  <si>
    <t>Travis Hubbard</t>
  </si>
  <si>
    <t>Curt Balcerzak</t>
  </si>
  <si>
    <t>Course HCP</t>
  </si>
  <si>
    <t>Stableford Points</t>
  </si>
  <si>
    <t>Player 1</t>
  </si>
  <si>
    <t>Ladies' Par</t>
  </si>
  <si>
    <t>Mens' Par</t>
  </si>
  <si>
    <t>Mens' Hole Handicap</t>
  </si>
  <si>
    <t>Ladies' Hole Handicap</t>
  </si>
  <si>
    <t>Max Handicap</t>
  </si>
  <si>
    <t>Player 3</t>
  </si>
  <si>
    <t>Player 4</t>
  </si>
  <si>
    <t>Player 5</t>
  </si>
  <si>
    <t>Three</t>
  </si>
  <si>
    <t>Marcus Fast</t>
  </si>
  <si>
    <t>Four</t>
  </si>
  <si>
    <t>Five</t>
  </si>
  <si>
    <t>Entry</t>
  </si>
  <si>
    <t>Tee</t>
  </si>
  <si>
    <t>2022 August Weekend Day 1 at Thorncreek Golf Course</t>
  </si>
  <si>
    <t>Points Needed</t>
  </si>
  <si>
    <t>Ryan Sagastume</t>
  </si>
  <si>
    <t>Player 6</t>
  </si>
  <si>
    <t>Allow</t>
  </si>
  <si>
    <t>Stableford
Points</t>
  </si>
  <si>
    <t>DISQUALIFIED</t>
  </si>
  <si>
    <t>Par 3s</t>
  </si>
  <si>
    <t>Number</t>
  </si>
  <si>
    <t>Prize</t>
  </si>
  <si>
    <t>Kitty Percentage</t>
  </si>
  <si>
    <t>Prize Pool</t>
  </si>
  <si>
    <t>Number of Par 3s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</si>
</sst>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3">
    <xf numFmtId="0" fontId="0" fillId="0" borderId="0" xfId="0"/>
    <xf numFmtId="49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0" xfId="0" applyNumberFormat="1"/>
    <xf numFmtId="9" fontId="0" fillId="0" borderId="0" xfId="0" applyNumberFormat="1"/>
    <xf numFmtId="9" fontId="0" fillId="0" borderId="0" xfId="0" applyNumberFormat="1" applyAlignment="1">
      <alignment wrapText="1"/>
    </xf>
    <xf numFmtId="0" fontId="0" fillId="0" borderId="0" xfId="0" applyAlignment="1"/>
    <xf numFmtId="0" fontId="1" fillId="0" borderId="0" xfId="0" applyFont="1"/>
    <xf numFmtId="9" fontId="1" fillId="0" borderId="0" xfId="0" applyNumberFormat="1" applyFont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1" fillId="0" borderId="0" xfId="0" applyNumberFormat="1" applyFont="1"/>
    <xf numFmtId="0" fontId="1" fillId="0" borderId="0" xfId="0" applyFont="1" applyAlignment="1">
      <alignment wrapText="1"/>
    </xf>
    <xf numFmtId="6" fontId="0" fillId="0" borderId="0" xfId="0" applyNumberFormat="1"/>
    <xf numFmtId="0" fontId="1" fillId="0" borderId="0" xfId="0" applyFont="1" applyAlignment="1">
      <alignment horizontal="left"/>
    </xf>
    <xf numFmtId="1" fontId="1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left"/>
    </xf>
    <xf numFmtId="0" fontId="1" fillId="0" borderId="0" xfId="0" applyNumberFormat="1" applyFont="1" applyAlignment="1">
      <alignment horizontal="center"/>
    </xf>
    <xf numFmtId="44" fontId="0" fillId="0" borderId="0" xfId="1" applyFont="1"/>
    <xf numFmtId="0" fontId="0" fillId="0" borderId="0" xfId="1" applyNumberFormat="1" applyFont="1"/>
    <xf numFmtId="44" fontId="0" fillId="0" borderId="0" xfId="0" applyNumberFormat="1"/>
  </cellXfs>
  <cellStyles count="2">
    <cellStyle name="Currency" xfId="1" builtinId="4"/>
    <cellStyle name="Normal" xfId="0" builtinId="0"/>
  </cellStyles>
  <dxfs count="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D941B-5DDC-4A97-B9AF-4A6C197B2961}">
  <sheetPr>
    <pageSetUpPr fitToPage="1"/>
  </sheetPr>
  <dimension ref="A1:Y54"/>
  <sheetViews>
    <sheetView tabSelected="1" topLeftCell="A3" zoomScaleNormal="100" workbookViewId="0">
      <selection activeCell="B27" sqref="B27"/>
    </sheetView>
  </sheetViews>
  <sheetFormatPr defaultRowHeight="15" x14ac:dyDescent="0.25"/>
  <cols>
    <col min="1" max="1" width="31.28515625" customWidth="1"/>
    <col min="2" max="2" width="14.140625" bestFit="1" customWidth="1"/>
    <col min="3" max="3" width="5.7109375" customWidth="1"/>
    <col min="4" max="4" width="9" bestFit="1" customWidth="1"/>
    <col min="5" max="5" width="6.140625" customWidth="1"/>
    <col min="6" max="20" width="5.7109375" customWidth="1"/>
    <col min="21" max="21" width="7.140625" customWidth="1"/>
    <col min="22" max="22" width="10.28515625" bestFit="1" customWidth="1"/>
    <col min="23" max="23" width="9" style="17" bestFit="1" customWidth="1"/>
    <col min="24" max="24" width="6" bestFit="1" customWidth="1"/>
  </cols>
  <sheetData>
    <row r="1" spans="1:25" ht="15.75" x14ac:dyDescent="0.25">
      <c r="A1" s="7" t="s">
        <v>51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15"/>
      <c r="X1" s="7"/>
    </row>
    <row r="2" spans="1:25" ht="15.75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15"/>
      <c r="X2" s="7"/>
    </row>
    <row r="3" spans="1:25" ht="15.75" x14ac:dyDescent="0.25">
      <c r="A3" s="7" t="s">
        <v>1</v>
      </c>
      <c r="B3" s="7"/>
      <c r="C3" s="10">
        <v>1</v>
      </c>
      <c r="D3" s="10">
        <v>2</v>
      </c>
      <c r="E3" s="10">
        <v>3</v>
      </c>
      <c r="F3" s="10">
        <v>4</v>
      </c>
      <c r="G3" s="10">
        <v>5</v>
      </c>
      <c r="H3" s="10">
        <v>6</v>
      </c>
      <c r="I3" s="10">
        <v>7</v>
      </c>
      <c r="J3" s="10">
        <v>8</v>
      </c>
      <c r="K3" s="10">
        <v>9</v>
      </c>
      <c r="L3" s="10">
        <v>10</v>
      </c>
      <c r="M3" s="10">
        <v>11</v>
      </c>
      <c r="N3" s="10">
        <v>12</v>
      </c>
      <c r="O3" s="10">
        <v>13</v>
      </c>
      <c r="P3" s="10">
        <v>14</v>
      </c>
      <c r="Q3" s="10">
        <v>15</v>
      </c>
      <c r="R3" s="10">
        <v>16</v>
      </c>
      <c r="S3" s="10">
        <v>17</v>
      </c>
      <c r="T3" s="10">
        <v>18</v>
      </c>
      <c r="U3" s="7" t="s">
        <v>30</v>
      </c>
      <c r="V3" s="7"/>
      <c r="W3" s="15"/>
      <c r="X3" s="7"/>
    </row>
    <row r="4" spans="1:25" ht="15.75" x14ac:dyDescent="0.25">
      <c r="A4" s="7" t="s">
        <v>38</v>
      </c>
      <c r="B4" s="7"/>
      <c r="C4" s="19" cm="1">
        <f t="array" ref="C4">INDEX(HoleParM,C3,0)</f>
        <v>4</v>
      </c>
      <c r="D4" s="19" cm="1">
        <f t="array" ref="D4">INDEX(HoleParM,D3,0)</f>
        <v>4</v>
      </c>
      <c r="E4" s="19" cm="1">
        <f t="array" ref="E4">INDEX(HoleParM,E3,0)</f>
        <v>5</v>
      </c>
      <c r="F4" s="19" cm="1">
        <f t="array" ref="F4">INDEX(HoleParM,F3,0)</f>
        <v>3</v>
      </c>
      <c r="G4" s="19" cm="1">
        <f t="array" ref="G4">INDEX(HoleParM,G3,0)</f>
        <v>5</v>
      </c>
      <c r="H4" s="19" cm="1">
        <f t="array" ref="H4">INDEX(HoleParM,H3,0)</f>
        <v>4</v>
      </c>
      <c r="I4" s="19" cm="1">
        <f t="array" ref="I4">INDEX(HoleParM,I3,0)</f>
        <v>3</v>
      </c>
      <c r="J4" s="19" cm="1">
        <f t="array" ref="J4">INDEX(HoleParM,J3,0)</f>
        <v>4</v>
      </c>
      <c r="K4" s="19" cm="1">
        <f t="array" ref="K4">INDEX(HoleParM,K3,0)</f>
        <v>4</v>
      </c>
      <c r="L4" s="19" cm="1">
        <f t="array" ref="L4">INDEX(HoleParM,L3,0)</f>
        <v>4</v>
      </c>
      <c r="M4" s="19" cm="1">
        <f t="array" ref="M4">INDEX(HoleParM,M3,0)</f>
        <v>4</v>
      </c>
      <c r="N4" s="19" cm="1">
        <f t="array" ref="N4">INDEX(HoleParM,N3,0)</f>
        <v>4</v>
      </c>
      <c r="O4" s="19" cm="1">
        <f t="array" ref="O4">INDEX(HoleParM,O3,0)</f>
        <v>3</v>
      </c>
      <c r="P4" s="19" cm="1">
        <f t="array" ref="P4">INDEX(HoleParM,P3,0)</f>
        <v>5</v>
      </c>
      <c r="Q4" s="19" cm="1">
        <f t="array" ref="Q4">INDEX(HoleParM,Q3,0)</f>
        <v>4</v>
      </c>
      <c r="R4" s="19" cm="1">
        <f t="array" ref="R4">INDEX(HoleParM,R3,0)</f>
        <v>5</v>
      </c>
      <c r="S4" s="19" cm="1">
        <f t="array" ref="S4">INDEX(HoleParM,S3,0)</f>
        <v>3</v>
      </c>
      <c r="T4" s="19" cm="1">
        <f t="array" ref="T4">INDEX(HoleParM,T3,0)</f>
        <v>4</v>
      </c>
      <c r="U4" s="12">
        <f>SUM(C4:T4)</f>
        <v>72</v>
      </c>
      <c r="V4" s="7"/>
      <c r="W4" s="15"/>
      <c r="X4" s="7"/>
    </row>
    <row r="5" spans="1:25" ht="15.75" x14ac:dyDescent="0.25">
      <c r="A5" s="7" t="s">
        <v>39</v>
      </c>
      <c r="B5" s="7"/>
      <c r="C5" s="19" cm="1">
        <f t="array" ref="C5">INDEX(HoleHandicapM,C3,0)</f>
        <v>11</v>
      </c>
      <c r="D5" s="19" cm="1">
        <f t="array" ref="D5">INDEX(HoleHandicapM,D3,0)</f>
        <v>3</v>
      </c>
      <c r="E5" s="19" cm="1">
        <f t="array" ref="E5">INDEX(HoleHandicapM,E3,0)</f>
        <v>7</v>
      </c>
      <c r="F5" s="19" cm="1">
        <f t="array" ref="F5">INDEX(HoleHandicapM,F3,0)</f>
        <v>15</v>
      </c>
      <c r="G5" s="19" cm="1">
        <f t="array" ref="G5">INDEX(HoleHandicapM,G3,0)</f>
        <v>9</v>
      </c>
      <c r="H5" s="19" cm="1">
        <f t="array" ref="H5">INDEX(HoleHandicapM,H3,0)</f>
        <v>5</v>
      </c>
      <c r="I5" s="19" cm="1">
        <f t="array" ref="I5">INDEX(HoleHandicapM,I3,0)</f>
        <v>17</v>
      </c>
      <c r="J5" s="19" cm="1">
        <f t="array" ref="J5">INDEX(HoleHandicapM,J3,0)</f>
        <v>13</v>
      </c>
      <c r="K5" s="19" cm="1">
        <f t="array" ref="K5">INDEX(HoleHandicapM,K3,0)</f>
        <v>1</v>
      </c>
      <c r="L5" s="19" cm="1">
        <f t="array" ref="L5">INDEX(HoleHandicapM,L3,0)</f>
        <v>8</v>
      </c>
      <c r="M5" s="19" cm="1">
        <f t="array" ref="M5">INDEX(HoleHandicapM,M3,0)</f>
        <v>4</v>
      </c>
      <c r="N5" s="19" cm="1">
        <f t="array" ref="N5">INDEX(HoleHandicapM,N3,0)</f>
        <v>10</v>
      </c>
      <c r="O5" s="19" cm="1">
        <f t="array" ref="O5">INDEX(HoleHandicapM,O3,0)</f>
        <v>16</v>
      </c>
      <c r="P5" s="19" cm="1">
        <f t="array" ref="P5">INDEX(HoleHandicapM,P3,0)</f>
        <v>12</v>
      </c>
      <c r="Q5" s="19" cm="1">
        <f t="array" ref="Q5">INDEX(HoleHandicapM,Q3,0)</f>
        <v>14</v>
      </c>
      <c r="R5" s="19" cm="1">
        <f t="array" ref="R5">INDEX(HoleHandicapM,R3,0)</f>
        <v>2</v>
      </c>
      <c r="S5" s="19" cm="1">
        <f t="array" ref="S5">INDEX(HoleHandicapM,S3,0)</f>
        <v>18</v>
      </c>
      <c r="T5" s="19" cm="1">
        <f t="array" ref="T5">INDEX(HoleHandicapM,T3,0)</f>
        <v>6</v>
      </c>
      <c r="U5" s="12"/>
      <c r="V5" s="7"/>
      <c r="W5" s="15"/>
      <c r="X5" s="7"/>
    </row>
    <row r="6" spans="1:25" ht="15.75" x14ac:dyDescent="0.25">
      <c r="A6" s="7" t="s">
        <v>37</v>
      </c>
      <c r="B6" s="7"/>
      <c r="C6" s="19" cm="1">
        <f t="array" ref="C6">INDEX(HoleParF,C3,0)</f>
        <v>4</v>
      </c>
      <c r="D6" s="19" cm="1">
        <f t="array" ref="D6">INDEX(HoleParF,D3,0)</f>
        <v>4</v>
      </c>
      <c r="E6" s="19" cm="1">
        <f t="array" ref="E6">INDEX(HoleParF,E3,0)</f>
        <v>3</v>
      </c>
      <c r="F6" s="19" cm="1">
        <f t="array" ref="F6">INDEX(HoleParF,F3,0)</f>
        <v>5</v>
      </c>
      <c r="G6" s="19" cm="1">
        <f t="array" ref="G6">INDEX(HoleParF,G3,0)</f>
        <v>4</v>
      </c>
      <c r="H6" s="19" cm="1">
        <f t="array" ref="H6">INDEX(HoleParF,H3,0)</f>
        <v>4</v>
      </c>
      <c r="I6" s="19" cm="1">
        <f t="array" ref="I6">INDEX(HoleParF,I3,0)</f>
        <v>3</v>
      </c>
      <c r="J6" s="19" cm="1">
        <f t="array" ref="J6">INDEX(HoleParF,J3,0)</f>
        <v>5</v>
      </c>
      <c r="K6" s="19" cm="1">
        <f t="array" ref="K6">INDEX(HoleParF,K3,0)</f>
        <v>4</v>
      </c>
      <c r="L6" s="19" cm="1">
        <f t="array" ref="L6">INDEX(HoleParF,L3,0)</f>
        <v>4</v>
      </c>
      <c r="M6" s="19" cm="1">
        <f t="array" ref="M6">INDEX(HoleParF,M3,0)</f>
        <v>3</v>
      </c>
      <c r="N6" s="19" cm="1">
        <f t="array" ref="N6">INDEX(HoleParF,N3,0)</f>
        <v>4</v>
      </c>
      <c r="O6" s="19" cm="1">
        <f t="array" ref="O6">INDEX(HoleParF,O3,0)</f>
        <v>4</v>
      </c>
      <c r="P6" s="19" cm="1">
        <f t="array" ref="P6">INDEX(HoleParF,P3,0)</f>
        <v>5</v>
      </c>
      <c r="Q6" s="19" cm="1">
        <f t="array" ref="Q6">INDEX(HoleParF,Q3,0)</f>
        <v>4</v>
      </c>
      <c r="R6" s="19" cm="1">
        <f t="array" ref="R6">INDEX(HoleParF,R3,0)</f>
        <v>4</v>
      </c>
      <c r="S6" s="19" cm="1">
        <f t="array" ref="S6">INDEX(HoleParF,S3,0)</f>
        <v>3</v>
      </c>
      <c r="T6" s="19" cm="1">
        <f t="array" ref="T6">INDEX(HoleParF,T3,0)</f>
        <v>5</v>
      </c>
      <c r="U6" s="12">
        <f>SUM(C6:T6)</f>
        <v>72</v>
      </c>
      <c r="V6" s="7"/>
      <c r="W6" s="15"/>
      <c r="X6" s="7"/>
    </row>
    <row r="7" spans="1:25" ht="15.75" x14ac:dyDescent="0.25">
      <c r="A7" s="7" t="s">
        <v>40</v>
      </c>
      <c r="B7" s="7"/>
      <c r="C7" s="19" cm="1">
        <f t="array" ref="C7">INDEX(HoleHandicapF,C3,0)</f>
        <v>13</v>
      </c>
      <c r="D7" s="19" cm="1">
        <f t="array" ref="D7">INDEX(HoleHandicapF,D3,0)</f>
        <v>3</v>
      </c>
      <c r="E7" s="19" cm="1">
        <f t="array" ref="E7">INDEX(HoleHandicapF,E3,0)</f>
        <v>5</v>
      </c>
      <c r="F7" s="19" cm="1">
        <f t="array" ref="F7">INDEX(HoleHandicapF,F3,0)</f>
        <v>17</v>
      </c>
      <c r="G7" s="19" cm="1">
        <f t="array" ref="G7">INDEX(HoleHandicapF,G3,0)</f>
        <v>9</v>
      </c>
      <c r="H7" s="19" cm="1">
        <f t="array" ref="H7">INDEX(HoleHandicapF,H3,0)</f>
        <v>7</v>
      </c>
      <c r="I7" s="19" cm="1">
        <f t="array" ref="I7">INDEX(HoleHandicapF,I3,0)</f>
        <v>15</v>
      </c>
      <c r="J7" s="19" cm="1">
        <f t="array" ref="J7">INDEX(HoleHandicapF,J3,0)</f>
        <v>11</v>
      </c>
      <c r="K7" s="19" cm="1">
        <f t="array" ref="K7">INDEX(HoleHandicapF,K3,0)</f>
        <v>1</v>
      </c>
      <c r="L7" s="19" cm="1">
        <f t="array" ref="L7">INDEX(HoleHandicapF,L3,0)</f>
        <v>10</v>
      </c>
      <c r="M7" s="19" cm="1">
        <f t="array" ref="M7">INDEX(HoleHandicapF,M3,0)</f>
        <v>8</v>
      </c>
      <c r="N7" s="19" cm="1">
        <f t="array" ref="N7">INDEX(HoleHandicapF,N3,0)</f>
        <v>6</v>
      </c>
      <c r="O7" s="19" cm="1">
        <f t="array" ref="O7">INDEX(HoleHandicapF,O3,0)</f>
        <v>16</v>
      </c>
      <c r="P7" s="19" cm="1">
        <f t="array" ref="P7">INDEX(HoleHandicapF,P3,0)</f>
        <v>14</v>
      </c>
      <c r="Q7" s="19" cm="1">
        <f t="array" ref="Q7">INDEX(HoleHandicapF,Q3,0)</f>
        <v>12</v>
      </c>
      <c r="R7" s="19" cm="1">
        <f t="array" ref="R7">INDEX(HoleHandicapF,R3,0)</f>
        <v>4</v>
      </c>
      <c r="S7" s="19" cm="1">
        <f t="array" ref="S7">INDEX(HoleHandicapF,S3,0)</f>
        <v>18</v>
      </c>
      <c r="T7" s="19" cm="1">
        <f t="array" ref="T7">INDEX(HoleHandicapF,T3,0)</f>
        <v>2</v>
      </c>
      <c r="U7" s="12"/>
      <c r="V7" s="7"/>
      <c r="W7" s="15"/>
      <c r="X7" s="7"/>
    </row>
    <row r="8" spans="1:25" ht="15.75" x14ac:dyDescent="0.25">
      <c r="A8" s="7"/>
      <c r="B8" s="7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2"/>
      <c r="V8" s="7"/>
      <c r="W8" s="15"/>
      <c r="X8" s="7"/>
    </row>
    <row r="9" spans="1:25" ht="30.75" customHeight="1" x14ac:dyDescent="0.25">
      <c r="A9" s="7" t="s">
        <v>36</v>
      </c>
      <c r="B9" s="7" t="s">
        <v>50</v>
      </c>
      <c r="C9" s="7" t="s">
        <v>0</v>
      </c>
      <c r="D9" s="8" t="s">
        <v>34</v>
      </c>
      <c r="E9" s="7" t="s">
        <v>55</v>
      </c>
      <c r="F9" s="9" t="s">
        <v>52</v>
      </c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13" t="s">
        <v>56</v>
      </c>
      <c r="W9" s="15" t="s">
        <v>3</v>
      </c>
      <c r="X9" s="7" t="s">
        <v>22</v>
      </c>
      <c r="Y9" s="7" t="s">
        <v>19</v>
      </c>
    </row>
    <row r="10" spans="1:25" ht="15.75" x14ac:dyDescent="0.25">
      <c r="A10" s="7" t="str" cm="1">
        <f t="array" ref="A10">INDEX(PlayerNames,SUMPRODUCT((PlayerPlayerNo=VALUE(RIGHT(A9,1)))*ROW(PlayerNames))-1)</f>
        <v>Scott O'Hare</v>
      </c>
      <c r="B10" s="7" t="str" cm="1">
        <f t="array" ref="B10">INDEX(PlayerTees,SUMPRODUCT((PlayerPlayerNo=(VALUE(RIGHT($A9,1))))*ROW(PlayerNames))-1)</f>
        <v>Three</v>
      </c>
      <c r="C10" s="7" cm="1">
        <f t="array" ref="C10">MIN(30,INDEX(PlayerHandicaps,SUMPRODUCT((PlayerPlayerNo=VALUE(RIGHT($A9,1)))*ROW(PlayerHandicaps))-1))</f>
        <v>13.3</v>
      </c>
      <c r="D10" s="7" cm="1">
        <f t="array" ref="D10">IF(C10="","",IF(C10=0,0,IF(INDEX(PlayerGender,SUMPRODUCT((PlayerPlayerNo=VALUE(RIGHT($A9,1)))*ROW(PlayerGender))-1)="M",ROUND(($C10*(HLOOKUP($B10,MensTees,2,FALSE)/113))+(HLOOKUP(B10,MensTees,3,FALSE)-HLOOKUP($B10,MensTees,4,FALSE)),0),ROUND(($C10*(HLOOKUP($B10,WomensTees,2,FALSE)/113))+(HLOOKUP($B10,WomensTees,3,FALSE)-HLOOKUP($B10,WomensTees,4,FALSE)),0))))</f>
        <v>11</v>
      </c>
      <c r="E10">
        <f>$D10*Handicap_Allowance</f>
        <v>11</v>
      </c>
      <c r="F10" s="7">
        <f>36-$E10</f>
        <v>25</v>
      </c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 t="s">
        <v>4</v>
      </c>
      <c r="V10" s="7"/>
      <c r="W10" s="15"/>
      <c r="X10" s="7"/>
      <c r="Y10" s="7"/>
    </row>
    <row r="11" spans="1:25" ht="15.75" x14ac:dyDescent="0.25">
      <c r="A11" s="7" t="str">
        <f>_xlfn.CONCAT(A10," Gross")</f>
        <v>Scott O'Hare Gross</v>
      </c>
      <c r="B11" s="7"/>
      <c r="C11" s="11">
        <v>5</v>
      </c>
      <c r="D11" s="11">
        <v>5</v>
      </c>
      <c r="E11" s="11">
        <v>4</v>
      </c>
      <c r="F11" s="11">
        <v>3</v>
      </c>
      <c r="G11" s="11">
        <v>5</v>
      </c>
      <c r="H11" s="11">
        <v>4</v>
      </c>
      <c r="I11" s="11">
        <v>4</v>
      </c>
      <c r="J11" s="11">
        <v>7</v>
      </c>
      <c r="K11" s="11">
        <v>7</v>
      </c>
      <c r="L11" s="11">
        <v>5</v>
      </c>
      <c r="M11" s="11">
        <v>4</v>
      </c>
      <c r="N11" s="11">
        <v>5</v>
      </c>
      <c r="O11" s="11">
        <v>4</v>
      </c>
      <c r="P11" s="11">
        <v>6</v>
      </c>
      <c r="Q11" s="11">
        <v>4</v>
      </c>
      <c r="R11" s="11">
        <v>5</v>
      </c>
      <c r="S11" s="11">
        <v>3</v>
      </c>
      <c r="T11" s="11">
        <v>6</v>
      </c>
      <c r="U11" s="11">
        <f>SUM(C11:T11)</f>
        <v>86</v>
      </c>
      <c r="V11" s="7"/>
      <c r="W11" s="15"/>
      <c r="X11" s="7"/>
    </row>
    <row r="12" spans="1:25" ht="15.75" x14ac:dyDescent="0.25">
      <c r="A12" s="7" t="str">
        <f>_xlfn.CONCAT(A10," Stableford Points")</f>
        <v>Scott O'Hare Stableford Points</v>
      </c>
      <c r="B12" s="7"/>
      <c r="C12" s="11" cm="1">
        <f t="array" ref="C12">IF(ISBLANK(C11),"",VLOOKUP(C11-IF(INDEX(PlayerGender,SUMPRODUCT((PlayerPlayerNo=VALUE(RIGHT($A9,1)))*ROW(PlayerGender))-1)="M",INDEX(HoleParM,C$3,0),INDEX(HoleParF,C$3,0)),Stableford_Points,2))</f>
        <v>1</v>
      </c>
      <c r="D12" s="11" cm="1">
        <f t="array" ref="D12">IF(ISBLANK(D11),"",VLOOKUP(D11-IF(INDEX(PlayerGender,SUMPRODUCT((PlayerPlayerNo=VALUE(RIGHT($A9,1)))*ROW(PlayerGender))-1)="M",INDEX(HoleParM,D$3,0),INDEX(HoleParF,D$3,0)),Stableford_Points,2))</f>
        <v>1</v>
      </c>
      <c r="E12" s="11" cm="1">
        <f t="array" ref="E12">IF(ISBLANK(E11),"",VLOOKUP(E11-IF(INDEX(PlayerGender,SUMPRODUCT((PlayerPlayerNo=VALUE(RIGHT($A9,1)))*ROW(PlayerGender))-1)="M",INDEX(HoleParM,E$3,0),INDEX(HoleParF,E$3,0)),Stableford_Points,2))</f>
        <v>4</v>
      </c>
      <c r="F12" s="11" cm="1">
        <f t="array" ref="F12">IF(ISBLANK(F11),"",VLOOKUP(F11-IF(INDEX(PlayerGender,SUMPRODUCT((PlayerPlayerNo=VALUE(RIGHT($A9,1)))*ROW(PlayerGender))-1)="M",INDEX(HoleParM,F$3,0),INDEX(HoleParF,F$3,0)),Stableford_Points,2))</f>
        <v>2</v>
      </c>
      <c r="G12" s="11" cm="1">
        <f t="array" ref="G12">IF(ISBLANK(G11),"",VLOOKUP(G11-IF(INDEX(PlayerGender,SUMPRODUCT((PlayerPlayerNo=VALUE(RIGHT($A9,1)))*ROW(PlayerGender))-1)="M",INDEX(HoleParM,G$3,0),INDEX(HoleParF,G$3,0)),Stableford_Points,2))</f>
        <v>2</v>
      </c>
      <c r="H12" s="11" cm="1">
        <f t="array" ref="H12">IF(ISBLANK(H11),"",VLOOKUP(H11-IF(INDEX(PlayerGender,SUMPRODUCT((PlayerPlayerNo=VALUE(RIGHT($A9,1)))*ROW(PlayerGender))-1)="M",INDEX(HoleParM,H$3,0),INDEX(HoleParF,H$3,0)),Stableford_Points,2))</f>
        <v>2</v>
      </c>
      <c r="I12" s="11" cm="1">
        <f t="array" ref="I12">IF(ISBLANK(I11),"",VLOOKUP(I11-IF(INDEX(PlayerGender,SUMPRODUCT((PlayerPlayerNo=VALUE(RIGHT($A9,1)))*ROW(PlayerGender))-1)="M",INDEX(HoleParM,I$3,0),INDEX(HoleParF,I$3,0)),Stableford_Points,2))</f>
        <v>1</v>
      </c>
      <c r="J12" s="11" cm="1">
        <f t="array" ref="J12">IF(ISBLANK(J11),"",VLOOKUP(J11-IF(INDEX(PlayerGender,SUMPRODUCT((PlayerPlayerNo=VALUE(RIGHT($A9,1)))*ROW(PlayerGender))-1)="M",INDEX(HoleParM,J$3,0),INDEX(HoleParF,J$3,0)),Stableford_Points,2))</f>
        <v>-1</v>
      </c>
      <c r="K12" s="11" cm="1">
        <f t="array" ref="K12">IF(ISBLANK(K11),"",VLOOKUP(K11-IF(INDEX(PlayerGender,SUMPRODUCT((PlayerPlayerNo=VALUE(RIGHT($A9,1)))*ROW(PlayerGender))-1)="M",INDEX(HoleParM,K$3,0),INDEX(HoleParF,K$3,0)),Stableford_Points,2))</f>
        <v>-1</v>
      </c>
      <c r="L12" s="11" cm="1">
        <f t="array" ref="L12">IF(ISBLANK(L11),"",VLOOKUP(L11-IF(INDEX(PlayerGender,SUMPRODUCT((PlayerPlayerNo=VALUE(RIGHT($A9,1)))*ROW(PlayerGender))-1)="M",INDEX(HoleParM,L$3,0),INDEX(HoleParF,L$3,0)),Stableford_Points,2))</f>
        <v>1</v>
      </c>
      <c r="M12" s="11" cm="1">
        <f t="array" ref="M12">IF(ISBLANK(M11),"",VLOOKUP(M11-IF(INDEX(PlayerGender,SUMPRODUCT((PlayerPlayerNo=VALUE(RIGHT($A9,1)))*ROW(PlayerGender))-1)="M",INDEX(HoleParM,M$3,0),INDEX(HoleParF,M$3,0)),Stableford_Points,2))</f>
        <v>2</v>
      </c>
      <c r="N12" s="11" cm="1">
        <f t="array" ref="N12">IF(ISBLANK(N11),"",VLOOKUP(N11-IF(INDEX(PlayerGender,SUMPRODUCT((PlayerPlayerNo=VALUE(RIGHT($A9,1)))*ROW(PlayerGender))-1)="M",INDEX(HoleParM,N$3,0),INDEX(HoleParF,N$3,0)),Stableford_Points,2))</f>
        <v>1</v>
      </c>
      <c r="O12" s="11" cm="1">
        <f t="array" ref="O12">IF(ISBLANK(O11),"",VLOOKUP(O11-IF(INDEX(PlayerGender,SUMPRODUCT((PlayerPlayerNo=VALUE(RIGHT($A9,1)))*ROW(PlayerGender))-1)="M",INDEX(HoleParM,O$3,0),INDEX(HoleParF,O$3,0)),Stableford_Points,2))</f>
        <v>1</v>
      </c>
      <c r="P12" s="11" cm="1">
        <f t="array" ref="P12">IF(ISBLANK(P11),"",VLOOKUP(P11-IF(INDEX(PlayerGender,SUMPRODUCT((PlayerPlayerNo=VALUE(RIGHT($A9,1)))*ROW(PlayerGender))-1)="M",INDEX(HoleParM,P$3,0),INDEX(HoleParF,P$3,0)),Stableford_Points,2))</f>
        <v>1</v>
      </c>
      <c r="Q12" s="11" cm="1">
        <f t="array" ref="Q12">IF(ISBLANK(Q11),"",VLOOKUP(Q11-IF(INDEX(PlayerGender,SUMPRODUCT((PlayerPlayerNo=VALUE(RIGHT($A9,1)))*ROW(PlayerGender))-1)="M",INDEX(HoleParM,Q$3,0),INDEX(HoleParF,Q$3,0)),Stableford_Points,2))</f>
        <v>2</v>
      </c>
      <c r="R12" s="11" cm="1">
        <f t="array" ref="R12">IF(ISBLANK(R11),"",VLOOKUP(R11-IF(INDEX(PlayerGender,SUMPRODUCT((PlayerPlayerNo=VALUE(RIGHT($A9,1)))*ROW(PlayerGender))-1)="M",INDEX(HoleParM,R$3,0),INDEX(HoleParF,R$3,0)),Stableford_Points,2))</f>
        <v>2</v>
      </c>
      <c r="S12" s="11" cm="1">
        <f t="array" ref="S12">IF(ISBLANK(S11),"",VLOOKUP(S11-IF(INDEX(PlayerGender,SUMPRODUCT((PlayerPlayerNo=VALUE(RIGHT($A9,1)))*ROW(PlayerGender))-1)="M",INDEX(HoleParM,S$3,0),INDEX(HoleParF,S$3,0)),Stableford_Points,2))</f>
        <v>2</v>
      </c>
      <c r="T12" s="11" cm="1">
        <f t="array" ref="T12">IF(ISBLANK(T11),"",VLOOKUP(T11-IF(INDEX(PlayerGender,SUMPRODUCT((PlayerPlayerNo=VALUE(RIGHT($A9,1)))*ROW(PlayerGender))-1)="M",INDEX(HoleParM,T$3,0),INDEX(HoleParF,T$3,0)),Stableford_Points,2))</f>
        <v>0</v>
      </c>
      <c r="U12" s="11">
        <f>SUM(C12:T12)</f>
        <v>23</v>
      </c>
      <c r="V12" s="11">
        <f>IF($U12=0,"",F10-U12)</f>
        <v>2</v>
      </c>
      <c r="W12" s="16">
        <f>IF(V12 = "","",_xlfn.RANK.EQ(V12,V:V,1))</f>
        <v>1</v>
      </c>
      <c r="X12" s="7" t="str">
        <f>IF(V12="","",IF(COUNTIF(W:W,W12)&gt;1,CONCATENATE("T",W12),TEXT(W12,"0")))</f>
        <v>1</v>
      </c>
      <c r="Y12" s="14">
        <f ca="1">IF(V12="","",IF(ISNA(VLOOKUP(W12,PlacePayouts,1,FALSE)),"",AVERAGE(OFFSET(PlacePayouts,VLOOKUP(W12,PlacePayouts,1,FALSE)-1,1,COUNTIF(W:W,W12)))*Kitty))</f>
        <v>48</v>
      </c>
    </row>
    <row r="13" spans="1:25" ht="15.75" x14ac:dyDescent="0.25">
      <c r="A13" s="7"/>
      <c r="B13" s="7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2"/>
      <c r="W13" s="16"/>
      <c r="X13" s="7"/>
      <c r="Y13" s="14"/>
    </row>
    <row r="14" spans="1:25" ht="31.5" x14ac:dyDescent="0.25">
      <c r="A14" s="7" t="s">
        <v>42</v>
      </c>
      <c r="B14" s="7" t="s">
        <v>50</v>
      </c>
      <c r="C14" s="7" t="s">
        <v>0</v>
      </c>
      <c r="D14" s="8" t="s">
        <v>34</v>
      </c>
      <c r="E14" s="7" t="s">
        <v>55</v>
      </c>
      <c r="F14" s="9" t="s">
        <v>52</v>
      </c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12"/>
      <c r="W14" s="16"/>
      <c r="X14" s="7"/>
      <c r="Y14" s="14"/>
    </row>
    <row r="15" spans="1:25" ht="15.75" x14ac:dyDescent="0.25">
      <c r="A15" s="7" t="str" cm="1">
        <f t="array" ref="A15">INDEX(PlayerNames,SUMPRODUCT((PlayerPlayerNo=VALUE(RIGHT(A14,1)))*ROW(PlayerNames))-1)</f>
        <v>Travis Hubbard</v>
      </c>
      <c r="B15" s="7" t="str" cm="1">
        <f t="array" ref="B15">INDEX(PlayerTees,SUMPRODUCT((PlayerPlayerNo=(VALUE(RIGHT($A14,1))))*ROW(PlayerNames))-1)</f>
        <v>Four</v>
      </c>
      <c r="C15" s="7" cm="1">
        <f t="array" ref="C15">MIN(30,INDEX(PlayerHandicaps,SUMPRODUCT((PlayerPlayerNo=VALUE(RIGHT($A14,1)))*ROW(PlayerHandicaps))-1))</f>
        <v>28</v>
      </c>
      <c r="D15" s="7" cm="1">
        <f t="array" ref="D15">IF(C15="","",IF(C15=0,0,IF(INDEX(PlayerGender,SUMPRODUCT((PlayerPlayerNo=VALUE(RIGHT($A14,1)))*ROW(PlayerGender))-1)="M",ROUND(($C15*(HLOOKUP($B15,MensTees,2,FALSE)/113))+(HLOOKUP(B15,MensTees,3,FALSE)-HLOOKUP($B15,MensTees,4,FALSE)),0),ROUND(($C15*(HLOOKUP($B15,WomensTees,2,FALSE)/113))+(HLOOKUP($B15,WomensTees,3,FALSE)-HLOOKUP($B15,WomensTees,4,FALSE)),0))))</f>
        <v>22</v>
      </c>
      <c r="E15">
        <f>$D15*Handicap_Allowance</f>
        <v>22</v>
      </c>
      <c r="F15" s="7">
        <f>36-D15</f>
        <v>14</v>
      </c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 t="s">
        <v>4</v>
      </c>
      <c r="V15" s="12"/>
      <c r="W15" s="16"/>
      <c r="X15" s="7"/>
      <c r="Y15" s="14"/>
    </row>
    <row r="16" spans="1:25" ht="15.75" x14ac:dyDescent="0.25">
      <c r="A16" s="7" t="str">
        <f>_xlfn.CONCAT(A15," Gross")</f>
        <v>Travis Hubbard Gross</v>
      </c>
      <c r="B16" s="7"/>
      <c r="C16" s="11">
        <v>5</v>
      </c>
      <c r="D16" s="11">
        <v>5</v>
      </c>
      <c r="E16" s="11">
        <v>8</v>
      </c>
      <c r="F16" s="11">
        <v>4</v>
      </c>
      <c r="G16" s="11">
        <v>6</v>
      </c>
      <c r="H16" s="11">
        <v>5</v>
      </c>
      <c r="I16" s="11">
        <v>6</v>
      </c>
      <c r="J16" s="11">
        <v>6</v>
      </c>
      <c r="K16" s="11">
        <v>5</v>
      </c>
      <c r="L16" s="11">
        <v>4</v>
      </c>
      <c r="M16" s="11">
        <v>6</v>
      </c>
      <c r="N16" s="11">
        <v>5</v>
      </c>
      <c r="O16" s="11">
        <v>6</v>
      </c>
      <c r="P16" s="11">
        <v>6</v>
      </c>
      <c r="Q16" s="11">
        <v>5</v>
      </c>
      <c r="R16" s="11">
        <v>7</v>
      </c>
      <c r="S16" s="11">
        <v>5</v>
      </c>
      <c r="T16" s="11">
        <v>7</v>
      </c>
      <c r="U16" s="11"/>
      <c r="V16" s="12"/>
      <c r="W16" s="16"/>
      <c r="X16" s="7"/>
      <c r="Y16" s="14"/>
    </row>
    <row r="17" spans="1:25" ht="15.75" x14ac:dyDescent="0.25">
      <c r="A17" s="7" t="str">
        <f>_xlfn.CONCAT(A15," Stableford Points")</f>
        <v>Travis Hubbard Stableford Points</v>
      </c>
      <c r="B17" s="7"/>
      <c r="C17" s="11" cm="1">
        <f t="array" ref="C17">IF(ISBLANK(C16),"",VLOOKUP(C16-IF(INDEX(PlayerGender,SUMPRODUCT((PlayerPlayerNo=VALUE(RIGHT($A14,1)))*ROW(PlayerGender))-1)="M",INDEX(HoleParM,C$3,0),INDEX(HoleParF,C$3,0)),Stableford_Points,2))</f>
        <v>1</v>
      </c>
      <c r="D17" s="11" cm="1">
        <f t="array" ref="D17">IF(ISBLANK(D16),"",VLOOKUP(D16-IF(INDEX(PlayerGender,SUMPRODUCT((PlayerPlayerNo=VALUE(RIGHT($A14,1)))*ROW(PlayerGender))-1)="M",INDEX(HoleParM,D$3,0),INDEX(HoleParF,D$3,0)),Stableford_Points,2))</f>
        <v>1</v>
      </c>
      <c r="E17" s="11" cm="1">
        <f t="array" ref="E17">IF(ISBLANK(E16),"",VLOOKUP(E16-IF(INDEX(PlayerGender,SUMPRODUCT((PlayerPlayerNo=VALUE(RIGHT($A14,1)))*ROW(PlayerGender))-1)="M",INDEX(HoleParM,E$3,0),INDEX(HoleParF,E$3,0)),Stableford_Points,2))</f>
        <v>-1</v>
      </c>
      <c r="F17" s="11" cm="1">
        <f t="array" ref="F17">IF(ISBLANK(F16),"",VLOOKUP(F16-IF(INDEX(PlayerGender,SUMPRODUCT((PlayerPlayerNo=VALUE(RIGHT($A14,1)))*ROW(PlayerGender))-1)="M",INDEX(HoleParM,F$3,0),INDEX(HoleParF,F$3,0)),Stableford_Points,2))</f>
        <v>1</v>
      </c>
      <c r="G17" s="11" cm="1">
        <f t="array" ref="G17">IF(ISBLANK(G16),"",VLOOKUP(G16-IF(INDEX(PlayerGender,SUMPRODUCT((PlayerPlayerNo=VALUE(RIGHT($A14,1)))*ROW(PlayerGender))-1)="M",INDEX(HoleParM,G$3,0),INDEX(HoleParF,G$3,0)),Stableford_Points,2))</f>
        <v>1</v>
      </c>
      <c r="H17" s="11" cm="1">
        <f t="array" ref="H17">IF(ISBLANK(H16),"",VLOOKUP(H16-IF(INDEX(PlayerGender,SUMPRODUCT((PlayerPlayerNo=VALUE(RIGHT($A14,1)))*ROW(PlayerGender))-1)="M",INDEX(HoleParM,H$3,0),INDEX(HoleParF,H$3,0)),Stableford_Points,2))</f>
        <v>1</v>
      </c>
      <c r="I17" s="11" cm="1">
        <f t="array" ref="I17">IF(ISBLANK(I16),"",VLOOKUP(I16-IF(INDEX(PlayerGender,SUMPRODUCT((PlayerPlayerNo=VALUE(RIGHT($A14,1)))*ROW(PlayerGender))-1)="M",INDEX(HoleParM,I$3,0),INDEX(HoleParF,I$3,0)),Stableford_Points,2))</f>
        <v>-1</v>
      </c>
      <c r="J17" s="11" cm="1">
        <f t="array" ref="J17">IF(ISBLANK(J16),"",VLOOKUP(J16-IF(INDEX(PlayerGender,SUMPRODUCT((PlayerPlayerNo=VALUE(RIGHT($A14,1)))*ROW(PlayerGender))-1)="M",INDEX(HoleParM,J$3,0),INDEX(HoleParF,J$3,0)),Stableford_Points,2))</f>
        <v>0</v>
      </c>
      <c r="K17" s="11" cm="1">
        <f t="array" ref="K17">IF(ISBLANK(K16),"",VLOOKUP(K16-IF(INDEX(PlayerGender,SUMPRODUCT((PlayerPlayerNo=VALUE(RIGHT($A14,1)))*ROW(PlayerGender))-1)="M",INDEX(HoleParM,K$3,0),INDEX(HoleParF,K$3,0)),Stableford_Points,2))</f>
        <v>1</v>
      </c>
      <c r="L17" s="11" cm="1">
        <f t="array" ref="L17">IF(ISBLANK(L16),"",VLOOKUP(L16-IF(INDEX(PlayerGender,SUMPRODUCT((PlayerPlayerNo=VALUE(RIGHT($A14,1)))*ROW(PlayerGender))-1)="M",INDEX(HoleParM,L$3,0),INDEX(HoleParF,L$3,0)),Stableford_Points,2))</f>
        <v>2</v>
      </c>
      <c r="M17" s="11" cm="1">
        <f t="array" ref="M17">IF(ISBLANK(M16),"",VLOOKUP(M16-IF(INDEX(PlayerGender,SUMPRODUCT((PlayerPlayerNo=VALUE(RIGHT($A14,1)))*ROW(PlayerGender))-1)="M",INDEX(HoleParM,M$3,0),INDEX(HoleParF,M$3,0)),Stableford_Points,2))</f>
        <v>0</v>
      </c>
      <c r="N17" s="11" cm="1">
        <f t="array" ref="N17">IF(ISBLANK(N16),"",VLOOKUP(N16-IF(INDEX(PlayerGender,SUMPRODUCT((PlayerPlayerNo=VALUE(RIGHT($A14,1)))*ROW(PlayerGender))-1)="M",INDEX(HoleParM,N$3,0),INDEX(HoleParF,N$3,0)),Stableford_Points,2))</f>
        <v>1</v>
      </c>
      <c r="O17" s="11" cm="1">
        <f t="array" ref="O17">IF(ISBLANK(O16),"",VLOOKUP(O16-IF(INDEX(PlayerGender,SUMPRODUCT((PlayerPlayerNo=VALUE(RIGHT($A14,1)))*ROW(PlayerGender))-1)="M",INDEX(HoleParM,O$3,0),INDEX(HoleParF,O$3,0)),Stableford_Points,2))</f>
        <v>-1</v>
      </c>
      <c r="P17" s="11" cm="1">
        <f t="array" ref="P17">IF(ISBLANK(P16),"",VLOOKUP(P16-IF(INDEX(PlayerGender,SUMPRODUCT((PlayerPlayerNo=VALUE(RIGHT($A14,1)))*ROW(PlayerGender))-1)="M",INDEX(HoleParM,P$3,0),INDEX(HoleParF,P$3,0)),Stableford_Points,2))</f>
        <v>1</v>
      </c>
      <c r="Q17" s="11" cm="1">
        <f t="array" ref="Q17">IF(ISBLANK(Q16),"",VLOOKUP(Q16-IF(INDEX(PlayerGender,SUMPRODUCT((PlayerPlayerNo=VALUE(RIGHT($A14,1)))*ROW(PlayerGender))-1)="M",INDEX(HoleParM,Q$3,0),INDEX(HoleParF,Q$3,0)),Stableford_Points,2))</f>
        <v>1</v>
      </c>
      <c r="R17" s="11" cm="1">
        <f t="array" ref="R17">IF(ISBLANK(R16),"",VLOOKUP(R16-IF(INDEX(PlayerGender,SUMPRODUCT((PlayerPlayerNo=VALUE(RIGHT($A14,1)))*ROW(PlayerGender))-1)="M",INDEX(HoleParM,R$3,0),INDEX(HoleParF,R$3,0)),Stableford_Points,2))</f>
        <v>0</v>
      </c>
      <c r="S17" s="11" cm="1">
        <f t="array" ref="S17">IF(ISBLANK(S16),"",VLOOKUP(S16-IF(INDEX(PlayerGender,SUMPRODUCT((PlayerPlayerNo=VALUE(RIGHT($A14,1)))*ROW(PlayerGender))-1)="M",INDEX(HoleParM,S$3,0),INDEX(HoleParF,S$3,0)),Stableford_Points,2))</f>
        <v>0</v>
      </c>
      <c r="T17" s="11" cm="1">
        <f t="array" ref="T17">IF(ISBLANK(T16),"",VLOOKUP(T16-IF(INDEX(PlayerGender,SUMPRODUCT((PlayerPlayerNo=VALUE(RIGHT($A14,1)))*ROW(PlayerGender))-1)="M",INDEX(HoleParM,T$3,0),INDEX(HoleParF,T$3,0)),Stableford_Points,2))</f>
        <v>-1</v>
      </c>
      <c r="U17" s="11">
        <f>SUM(C17:T17)</f>
        <v>7</v>
      </c>
      <c r="V17" s="11">
        <f>IF($U17=0,"",F15-U17)</f>
        <v>7</v>
      </c>
      <c r="W17" s="16">
        <f>IF(V17 = "","",_xlfn.RANK.EQ(V17,V:V,1))</f>
        <v>2</v>
      </c>
      <c r="X17" s="7" t="str">
        <f>IF(V17="","",IF(COUNTIF(W:W,W17)&gt;1,CONCATENATE("T",W17),TEXT(W17,"0")))</f>
        <v>2</v>
      </c>
      <c r="Y17" s="14">
        <f ca="1">IF(V17="","",IF(ISNA(VLOOKUP(W17,PlacePayouts,1,FALSE)),"",AVERAGE(OFFSET(PlacePayouts,VLOOKUP(W17,PlacePayouts,1,FALSE)-1,1,COUNTIF(W:W,W17)))*Kitty))</f>
        <v>24</v>
      </c>
    </row>
    <row r="18" spans="1:25" ht="15.75" x14ac:dyDescent="0.25">
      <c r="A18" s="7"/>
      <c r="B18" s="7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2"/>
      <c r="W18" s="16"/>
      <c r="X18" s="7"/>
      <c r="Y18" s="14"/>
    </row>
    <row r="19" spans="1:25" ht="31.5" x14ac:dyDescent="0.25">
      <c r="A19" s="7" t="s">
        <v>43</v>
      </c>
      <c r="B19" s="7" t="s">
        <v>50</v>
      </c>
      <c r="C19" s="7" t="s">
        <v>0</v>
      </c>
      <c r="D19" s="8" t="s">
        <v>34</v>
      </c>
      <c r="E19" s="7" t="s">
        <v>55</v>
      </c>
      <c r="F19" s="9" t="s">
        <v>52</v>
      </c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12"/>
      <c r="W19" s="16"/>
      <c r="X19" s="7"/>
      <c r="Y19" s="14"/>
    </row>
    <row r="20" spans="1:25" ht="15.75" x14ac:dyDescent="0.25">
      <c r="A20" s="7" t="str" cm="1">
        <f t="array" ref="A20">INDEX(PlayerNames,SUMPRODUCT((PlayerPlayerNo=VALUE(RIGHT(A19,1)))*ROW(PlayerNames))-1)</f>
        <v>Curt Balcerzak</v>
      </c>
      <c r="B20" s="7" t="str" cm="1">
        <f t="array" ref="B20">INDEX(PlayerTees,SUMPRODUCT((PlayerPlayerNo=(VALUE(RIGHT($A19,1))))*ROW(PlayerNames))-1)</f>
        <v>Three</v>
      </c>
      <c r="C20" s="7" cm="1">
        <f t="array" ref="C20">MIN(30,INDEX(PlayerHandicaps,SUMPRODUCT((PlayerPlayerNo=VALUE(RIGHT($A19,1)))*ROW(PlayerHandicaps))-1))</f>
        <v>12.2</v>
      </c>
      <c r="D20" s="7" cm="1">
        <f t="array" ref="D20">IF(C20="","",IF(C20=0,0,IF(INDEX(PlayerGender,SUMPRODUCT((PlayerPlayerNo=VALUE(RIGHT($A19,1)))*ROW(PlayerGender))-1)="M",ROUND(($C20*(HLOOKUP($B20,MensTees,2,FALSE)/113))+(HLOOKUP(B20,MensTees,3,FALSE)-HLOOKUP($B20,MensTees,4,FALSE)),0),ROUND(($C20*(HLOOKUP($B20,WomensTees,2,FALSE)/113))+(HLOOKUP($B20,WomensTees,3,FALSE)-HLOOKUP($B20,WomensTees,4,FALSE)),0))))</f>
        <v>10</v>
      </c>
      <c r="E20">
        <f>$D20*Handicap_Allowance</f>
        <v>10</v>
      </c>
      <c r="F20" s="7">
        <f>36-D20</f>
        <v>26</v>
      </c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 t="s">
        <v>4</v>
      </c>
      <c r="V20" s="12"/>
      <c r="W20" s="16"/>
      <c r="X20" s="7"/>
      <c r="Y20" s="14"/>
    </row>
    <row r="21" spans="1:25" ht="15.75" x14ac:dyDescent="0.25">
      <c r="A21" s="7" t="str">
        <f>_xlfn.CONCAT(A20," Gross")</f>
        <v>Curt Balcerzak Gross</v>
      </c>
      <c r="B21" s="7"/>
      <c r="C21" s="11">
        <v>6</v>
      </c>
      <c r="D21" s="11">
        <v>5</v>
      </c>
      <c r="E21" s="11">
        <v>8</v>
      </c>
      <c r="F21" s="11">
        <v>5</v>
      </c>
      <c r="G21" s="11">
        <v>6</v>
      </c>
      <c r="H21" s="11">
        <v>6</v>
      </c>
      <c r="I21" s="11">
        <v>4</v>
      </c>
      <c r="J21" s="11">
        <v>4</v>
      </c>
      <c r="K21" s="11">
        <v>6</v>
      </c>
      <c r="L21" s="11">
        <v>5</v>
      </c>
      <c r="M21" s="11">
        <v>5</v>
      </c>
      <c r="N21" s="11">
        <v>5</v>
      </c>
      <c r="O21" s="11">
        <v>5</v>
      </c>
      <c r="P21" s="11">
        <v>6</v>
      </c>
      <c r="Q21" s="11">
        <v>5</v>
      </c>
      <c r="R21" s="11">
        <v>8</v>
      </c>
      <c r="S21" s="11">
        <v>3</v>
      </c>
      <c r="T21" s="11">
        <v>5</v>
      </c>
      <c r="U21" s="11"/>
      <c r="V21" s="12"/>
      <c r="W21" s="16"/>
      <c r="X21" s="7"/>
      <c r="Y21" s="14"/>
    </row>
    <row r="22" spans="1:25" ht="15.75" x14ac:dyDescent="0.25">
      <c r="A22" s="7" t="str">
        <f>_xlfn.CONCAT(A20," Stableford Points")</f>
        <v>Curt Balcerzak Stableford Points</v>
      </c>
      <c r="B22" s="7"/>
      <c r="C22" s="11" cm="1">
        <f t="array" ref="C22">IF(ISBLANK(C21),"",VLOOKUP(C21-IF(INDEX(PlayerGender,SUMPRODUCT((PlayerPlayerNo=VALUE(RIGHT($A19,1)))*ROW(PlayerGender))-1)="M",INDEX(HoleParM,C$3,0),INDEX(HoleParF,C$3,0)),Stableford_Points,2))</f>
        <v>0</v>
      </c>
      <c r="D22" s="11" cm="1">
        <f t="array" ref="D22">IF(ISBLANK(D21),"",VLOOKUP(D21-IF(INDEX(PlayerGender,SUMPRODUCT((PlayerPlayerNo=VALUE(RIGHT($A19,1)))*ROW(PlayerGender))-1)="M",INDEX(HoleParM,D$3,0),INDEX(HoleParF,D$3,0)),Stableford_Points,2))</f>
        <v>1</v>
      </c>
      <c r="E22" s="11" cm="1">
        <f t="array" ref="E22">IF(ISBLANK(E21),"",VLOOKUP(E21-IF(INDEX(PlayerGender,SUMPRODUCT((PlayerPlayerNo=VALUE(RIGHT($A19,1)))*ROW(PlayerGender))-1)="M",INDEX(HoleParM,E$3,0),INDEX(HoleParF,E$3,0)),Stableford_Points,2))</f>
        <v>-1</v>
      </c>
      <c r="F22" s="11" cm="1">
        <f t="array" ref="F22">IF(ISBLANK(F21),"",VLOOKUP(F21-IF(INDEX(PlayerGender,SUMPRODUCT((PlayerPlayerNo=VALUE(RIGHT($A19,1)))*ROW(PlayerGender))-1)="M",INDEX(HoleParM,F$3,0),INDEX(HoleParF,F$3,0)),Stableford_Points,2))</f>
        <v>0</v>
      </c>
      <c r="G22" s="11" cm="1">
        <f t="array" ref="G22">IF(ISBLANK(G21),"",VLOOKUP(G21-IF(INDEX(PlayerGender,SUMPRODUCT((PlayerPlayerNo=VALUE(RIGHT($A19,1)))*ROW(PlayerGender))-1)="M",INDEX(HoleParM,G$3,0),INDEX(HoleParF,G$3,0)),Stableford_Points,2))</f>
        <v>1</v>
      </c>
      <c r="H22" s="11" cm="1">
        <f t="array" ref="H22">IF(ISBLANK(H21),"",VLOOKUP(H21-IF(INDEX(PlayerGender,SUMPRODUCT((PlayerPlayerNo=VALUE(RIGHT($A19,1)))*ROW(PlayerGender))-1)="M",INDEX(HoleParM,H$3,0),INDEX(HoleParF,H$3,0)),Stableford_Points,2))</f>
        <v>0</v>
      </c>
      <c r="I22" s="11" cm="1">
        <f t="array" ref="I22">IF(ISBLANK(I21),"",VLOOKUP(I21-IF(INDEX(PlayerGender,SUMPRODUCT((PlayerPlayerNo=VALUE(RIGHT($A19,1)))*ROW(PlayerGender))-1)="M",INDEX(HoleParM,I$3,0),INDEX(HoleParF,I$3,0)),Stableford_Points,2))</f>
        <v>1</v>
      </c>
      <c r="J22" s="11" cm="1">
        <f t="array" ref="J22">IF(ISBLANK(J21),"",VLOOKUP(J21-IF(INDEX(PlayerGender,SUMPRODUCT((PlayerPlayerNo=VALUE(RIGHT($A19,1)))*ROW(PlayerGender))-1)="M",INDEX(HoleParM,J$3,0),INDEX(HoleParF,J$3,0)),Stableford_Points,2))</f>
        <v>2</v>
      </c>
      <c r="K22" s="11" cm="1">
        <f t="array" ref="K22">IF(ISBLANK(K21),"",VLOOKUP(K21-IF(INDEX(PlayerGender,SUMPRODUCT((PlayerPlayerNo=VALUE(RIGHT($A19,1)))*ROW(PlayerGender))-1)="M",INDEX(HoleParM,K$3,0),INDEX(HoleParF,K$3,0)),Stableford_Points,2))</f>
        <v>0</v>
      </c>
      <c r="L22" s="11" cm="1">
        <f t="array" ref="L22">IF(ISBLANK(L21),"",VLOOKUP(L21-IF(INDEX(PlayerGender,SUMPRODUCT((PlayerPlayerNo=VALUE(RIGHT($A19,1)))*ROW(PlayerGender))-1)="M",INDEX(HoleParM,L$3,0),INDEX(HoleParF,L$3,0)),Stableford_Points,2))</f>
        <v>1</v>
      </c>
      <c r="M22" s="11" cm="1">
        <f t="array" ref="M22">IF(ISBLANK(M21),"",VLOOKUP(M21-IF(INDEX(PlayerGender,SUMPRODUCT((PlayerPlayerNo=VALUE(RIGHT($A19,1)))*ROW(PlayerGender))-1)="M",INDEX(HoleParM,M$3,0),INDEX(HoleParF,M$3,0)),Stableford_Points,2))</f>
        <v>1</v>
      </c>
      <c r="N22" s="11" cm="1">
        <f t="array" ref="N22">IF(ISBLANK(N21),"",VLOOKUP(N21-IF(INDEX(PlayerGender,SUMPRODUCT((PlayerPlayerNo=VALUE(RIGHT($A19,1)))*ROW(PlayerGender))-1)="M",INDEX(HoleParM,N$3,0),INDEX(HoleParF,N$3,0)),Stableford_Points,2))</f>
        <v>1</v>
      </c>
      <c r="O22" s="11" cm="1">
        <f t="array" ref="O22">IF(ISBLANK(O21),"",VLOOKUP(O21-IF(INDEX(PlayerGender,SUMPRODUCT((PlayerPlayerNo=VALUE(RIGHT($A19,1)))*ROW(PlayerGender))-1)="M",INDEX(HoleParM,O$3,0),INDEX(HoleParF,O$3,0)),Stableford_Points,2))</f>
        <v>0</v>
      </c>
      <c r="P22" s="11" cm="1">
        <f t="array" ref="P22">IF(ISBLANK(P21),"",VLOOKUP(P21-IF(INDEX(PlayerGender,SUMPRODUCT((PlayerPlayerNo=VALUE(RIGHT($A19,1)))*ROW(PlayerGender))-1)="M",INDEX(HoleParM,P$3,0),INDEX(HoleParF,P$3,0)),Stableford_Points,2))</f>
        <v>1</v>
      </c>
      <c r="Q22" s="11" cm="1">
        <f t="array" ref="Q22">IF(ISBLANK(Q21),"",VLOOKUP(Q21-IF(INDEX(PlayerGender,SUMPRODUCT((PlayerPlayerNo=VALUE(RIGHT($A19,1)))*ROW(PlayerGender))-1)="M",INDEX(HoleParM,Q$3,0),INDEX(HoleParF,Q$3,0)),Stableford_Points,2))</f>
        <v>1</v>
      </c>
      <c r="R22" s="11" cm="1">
        <f t="array" ref="R22">IF(ISBLANK(R21),"",VLOOKUP(R21-IF(INDEX(PlayerGender,SUMPRODUCT((PlayerPlayerNo=VALUE(RIGHT($A19,1)))*ROW(PlayerGender))-1)="M",INDEX(HoleParM,R$3,0),INDEX(HoleParF,R$3,0)),Stableford_Points,2))</f>
        <v>-1</v>
      </c>
      <c r="S22" s="11" cm="1">
        <f t="array" ref="S22">IF(ISBLANK(S21),"",VLOOKUP(S21-IF(INDEX(PlayerGender,SUMPRODUCT((PlayerPlayerNo=VALUE(RIGHT($A19,1)))*ROW(PlayerGender))-1)="M",INDEX(HoleParM,S$3,0),INDEX(HoleParF,S$3,0)),Stableford_Points,2))</f>
        <v>2</v>
      </c>
      <c r="T22" s="11" cm="1">
        <f t="array" ref="T22">IF(ISBLANK(T21),"",VLOOKUP(T21-IF(INDEX(PlayerGender,SUMPRODUCT((PlayerPlayerNo=VALUE(RIGHT($A19,1)))*ROW(PlayerGender))-1)="M",INDEX(HoleParM,T$3,0),INDEX(HoleParF,T$3,0)),Stableford_Points,2))</f>
        <v>1</v>
      </c>
      <c r="U22" s="11">
        <f>SUM(C22:T22)</f>
        <v>11</v>
      </c>
      <c r="V22" s="11">
        <f>IF($U22=0,"",F20-U22)</f>
        <v>15</v>
      </c>
      <c r="W22" s="16">
        <f>IF(V22 = "","",_xlfn.RANK.EQ(V22,V:V,1))</f>
        <v>3</v>
      </c>
      <c r="X22" s="7" t="str">
        <f>IF(V22="","",IF(COUNTIF(W:W,W22)&gt;1,CONCATENATE("T",W22),TEXT(W22,"0")))</f>
        <v>3</v>
      </c>
      <c r="Y22" s="14">
        <f ca="1">IF(V22="","",IF(ISNA(VLOOKUP(W22,PlacePayouts,1,FALSE)),"",AVERAGE(OFFSET(PlacePayouts,VLOOKUP(W22,PlacePayouts,1,FALSE)-1,1,COUNTIF(W:W,W22)))*Kitty))</f>
        <v>0</v>
      </c>
    </row>
    <row r="23" spans="1:25" ht="15.75" x14ac:dyDescent="0.25">
      <c r="A23" s="7"/>
      <c r="B23" s="7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2"/>
      <c r="W23" s="16"/>
      <c r="X23" s="7"/>
      <c r="Y23" s="14"/>
    </row>
    <row r="24" spans="1:25" ht="31.5" x14ac:dyDescent="0.25">
      <c r="A24" s="7" t="s">
        <v>44</v>
      </c>
      <c r="B24" s="7" t="s">
        <v>50</v>
      </c>
      <c r="C24" s="7" t="s">
        <v>0</v>
      </c>
      <c r="D24" s="8" t="s">
        <v>34</v>
      </c>
      <c r="E24" s="7" t="s">
        <v>55</v>
      </c>
      <c r="F24" s="9" t="s">
        <v>52</v>
      </c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12"/>
      <c r="W24" s="16"/>
      <c r="X24" s="7"/>
      <c r="Y24" s="14"/>
    </row>
    <row r="25" spans="1:25" ht="15.75" x14ac:dyDescent="0.25">
      <c r="A25" s="7" t="str" cm="1">
        <f t="array" ref="A25">INDEX(PlayerNames,SUMPRODUCT((PlayerPlayerNo=VALUE(RIGHT(A24,1)))*ROW(PlayerNames))-1)</f>
        <v>John Allen</v>
      </c>
      <c r="B25" s="7" t="str" cm="1">
        <f t="array" ref="B25">INDEX(PlayerTees,SUMPRODUCT((PlayerPlayerNo=(VALUE(RIGHT($A24,1))))*ROW(PlayerNames))-1)</f>
        <v>Four</v>
      </c>
      <c r="C25" s="7" cm="1">
        <f t="array" ref="C25">MIN(30,INDEX(PlayerHandicaps,SUMPRODUCT((PlayerPlayerNo=VALUE(RIGHT($A24,1)))*ROW(PlayerHandicaps))-1))</f>
        <v>29.1</v>
      </c>
      <c r="D25" s="7" cm="1">
        <f t="array" ref="D25">IF(C25="","",IF(C25=0,0,IF(INDEX(PlayerGender,SUMPRODUCT((PlayerPlayerNo=VALUE(RIGHT($A24,1)))*ROW(PlayerGender))-1)="M",ROUND(($C25*(HLOOKUP($B25,MensTees,2,FALSE)/113))+(HLOOKUP(B25,MensTees,3,FALSE)-HLOOKUP($B25,MensTees,4,FALSE)),0),ROUND(($C25*(HLOOKUP($B25,WomensTees,2,FALSE)/113))+(HLOOKUP($B25,WomensTees,3,FALSE)-HLOOKUP($B25,WomensTees,4,FALSE)),0))))</f>
        <v>23</v>
      </c>
      <c r="E25">
        <f>$D25*Handicap_Allowance</f>
        <v>23</v>
      </c>
      <c r="F25" s="7">
        <f>36-D25</f>
        <v>13</v>
      </c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 t="s">
        <v>4</v>
      </c>
      <c r="V25" s="12"/>
      <c r="W25" s="16"/>
      <c r="X25" s="7"/>
      <c r="Y25" s="14"/>
    </row>
    <row r="26" spans="1:25" ht="15.75" x14ac:dyDescent="0.25">
      <c r="A26" s="7" t="str">
        <f>_xlfn.CONCAT(A25," Gross")</f>
        <v>John Allen Gross</v>
      </c>
      <c r="B26" s="7" t="s">
        <v>57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2"/>
      <c r="W26" s="16"/>
      <c r="X26" s="7"/>
      <c r="Y26" s="14"/>
    </row>
    <row r="27" spans="1:25" ht="15.75" x14ac:dyDescent="0.25">
      <c r="A27" s="7" t="str">
        <f>_xlfn.CONCAT(A25," Stableford Points")</f>
        <v>John Allen Stableford Points</v>
      </c>
      <c r="B27" s="7" t="s">
        <v>57</v>
      </c>
      <c r="C27" s="11" t="str" cm="1">
        <f t="array" ref="C27">IF(ISBLANK(C26),"",VLOOKUP(C26-IF(INDEX(PlayerGender,SUMPRODUCT((PlayerPlayerNo=VALUE(RIGHT($A24,1)))*ROW(PlayerGender))-1)="M",INDEX(HoleParM,C$3,0),INDEX(HoleParF,C$3,0)),Stableford_Points,2))</f>
        <v/>
      </c>
      <c r="D27" s="11" t="str" cm="1">
        <f t="array" ref="D27">IF(ISBLANK(D26),"",VLOOKUP(D26-IF(INDEX(PlayerGender,SUMPRODUCT((PlayerPlayerNo=VALUE(RIGHT($A24,1)))*ROW(PlayerGender))-1)="M",INDEX(HoleParM,D$3,0),INDEX(HoleParF,D$3,0)),Stableford_Points,2))</f>
        <v/>
      </c>
      <c r="E27" s="11" t="str" cm="1">
        <f t="array" ref="E27">IF(ISBLANK(E26),"",VLOOKUP(E26-IF(INDEX(PlayerGender,SUMPRODUCT((PlayerPlayerNo=VALUE(RIGHT($A24,1)))*ROW(PlayerGender))-1)="M",INDEX(HoleParM,E$3,0),INDEX(HoleParF,E$3,0)),Stableford_Points,2))</f>
        <v/>
      </c>
      <c r="F27" s="11" t="str" cm="1">
        <f t="array" ref="F27">IF(ISBLANK(F26),"",VLOOKUP(F26-IF(INDEX(PlayerGender,SUMPRODUCT((PlayerPlayerNo=VALUE(RIGHT($A24,1)))*ROW(PlayerGender))-1)="M",INDEX(HoleParM,F$3,0),INDEX(HoleParF,F$3,0)),Stableford_Points,2))</f>
        <v/>
      </c>
      <c r="G27" s="11" t="str" cm="1">
        <f t="array" ref="G27">IF(ISBLANK(G26),"",VLOOKUP(G26-IF(INDEX(PlayerGender,SUMPRODUCT((PlayerPlayerNo=VALUE(RIGHT($A24,1)))*ROW(PlayerGender))-1)="M",INDEX(HoleParM,G$3,0),INDEX(HoleParF,G$3,0)),Stableford_Points,2))</f>
        <v/>
      </c>
      <c r="H27" s="11" t="str" cm="1">
        <f t="array" ref="H27">IF(ISBLANK(H26),"",VLOOKUP(H26-IF(INDEX(PlayerGender,SUMPRODUCT((PlayerPlayerNo=VALUE(RIGHT($A24,1)))*ROW(PlayerGender))-1)="M",INDEX(HoleParM,H$3,0),INDEX(HoleParF,H$3,0)),Stableford_Points,2))</f>
        <v/>
      </c>
      <c r="I27" s="11" t="str" cm="1">
        <f t="array" ref="I27">IF(ISBLANK(I26),"",VLOOKUP(I26-IF(INDEX(PlayerGender,SUMPRODUCT((PlayerPlayerNo=VALUE(RIGHT($A24,1)))*ROW(PlayerGender))-1)="M",INDEX(HoleParM,I$3,0),INDEX(HoleParF,I$3,0)),Stableford_Points,2))</f>
        <v/>
      </c>
      <c r="J27" s="11" t="str" cm="1">
        <f t="array" ref="J27">IF(ISBLANK(J26),"",VLOOKUP(J26-IF(INDEX(PlayerGender,SUMPRODUCT((PlayerPlayerNo=VALUE(RIGHT($A24,1)))*ROW(PlayerGender))-1)="M",INDEX(HoleParM,J$3,0),INDEX(HoleParF,J$3,0)),Stableford_Points,2))</f>
        <v/>
      </c>
      <c r="K27" s="11" t="str" cm="1">
        <f t="array" ref="K27">IF(ISBLANK(K26),"",VLOOKUP(K26-IF(INDEX(PlayerGender,SUMPRODUCT((PlayerPlayerNo=VALUE(RIGHT($A24,1)))*ROW(PlayerGender))-1)="M",INDEX(HoleParM,K$3,0),INDEX(HoleParF,K$3,0)),Stableford_Points,2))</f>
        <v/>
      </c>
      <c r="L27" s="11" t="str" cm="1">
        <f t="array" ref="L27">IF(ISBLANK(L26),"",VLOOKUP(L26-IF(INDEX(PlayerGender,SUMPRODUCT((PlayerPlayerNo=VALUE(RIGHT($A24,1)))*ROW(PlayerGender))-1)="M",INDEX(HoleParM,L$3,0),INDEX(HoleParF,L$3,0)),Stableford_Points,2))</f>
        <v/>
      </c>
      <c r="M27" s="11" t="str" cm="1">
        <f t="array" ref="M27">IF(ISBLANK(M26),"",VLOOKUP(M26-IF(INDEX(PlayerGender,SUMPRODUCT((PlayerPlayerNo=VALUE(RIGHT($A24,1)))*ROW(PlayerGender))-1)="M",INDEX(HoleParM,M$3,0),INDEX(HoleParF,M$3,0)),Stableford_Points,2))</f>
        <v/>
      </c>
      <c r="N27" s="11" t="str" cm="1">
        <f t="array" ref="N27">IF(ISBLANK(N26),"",VLOOKUP(N26-IF(INDEX(PlayerGender,SUMPRODUCT((PlayerPlayerNo=VALUE(RIGHT($A24,1)))*ROW(PlayerGender))-1)="M",INDEX(HoleParM,N$3,0),INDEX(HoleParF,N$3,0)),Stableford_Points,2))</f>
        <v/>
      </c>
      <c r="O27" s="11" t="str" cm="1">
        <f t="array" ref="O27">IF(ISBLANK(O26),"",VLOOKUP(O26-IF(INDEX(PlayerGender,SUMPRODUCT((PlayerPlayerNo=VALUE(RIGHT($A24,1)))*ROW(PlayerGender))-1)="M",INDEX(HoleParM,O$3,0),INDEX(HoleParF,O$3,0)),Stableford_Points,2))</f>
        <v/>
      </c>
      <c r="P27" s="11" t="str" cm="1">
        <f t="array" ref="P27">IF(ISBLANK(P26),"",VLOOKUP(P26-IF(INDEX(PlayerGender,SUMPRODUCT((PlayerPlayerNo=VALUE(RIGHT($A24,1)))*ROW(PlayerGender))-1)="M",INDEX(HoleParM,P$3,0),INDEX(HoleParF,P$3,0)),Stableford_Points,2))</f>
        <v/>
      </c>
      <c r="Q27" s="11" t="str" cm="1">
        <f t="array" ref="Q27">IF(ISBLANK(Q26),"",VLOOKUP(Q26-IF(INDEX(PlayerGender,SUMPRODUCT((PlayerPlayerNo=VALUE(RIGHT($A24,1)))*ROW(PlayerGender))-1)="M",INDEX(HoleParM,Q$3,0),INDEX(HoleParF,Q$3,0)),Stableford_Points,2))</f>
        <v/>
      </c>
      <c r="R27" s="11" t="str" cm="1">
        <f t="array" ref="R27">IF(ISBLANK(R26),"",VLOOKUP(R26-IF(INDEX(PlayerGender,SUMPRODUCT((PlayerPlayerNo=VALUE(RIGHT($A24,1)))*ROW(PlayerGender))-1)="M",INDEX(HoleParM,R$3,0),INDEX(HoleParF,R$3,0)),Stableford_Points,2))</f>
        <v/>
      </c>
      <c r="S27" s="11" t="str" cm="1">
        <f t="array" ref="S27">IF(ISBLANK(S26),"",VLOOKUP(S26-IF(INDEX(PlayerGender,SUMPRODUCT((PlayerPlayerNo=VALUE(RIGHT($A24,1)))*ROW(PlayerGender))-1)="M",INDEX(HoleParM,S$3,0),INDEX(HoleParF,S$3,0)),Stableford_Points,2))</f>
        <v/>
      </c>
      <c r="T27" s="11" t="str" cm="1">
        <f t="array" ref="T27">IF(ISBLANK(T26),"",VLOOKUP(T26-IF(INDEX(PlayerGender,SUMPRODUCT((PlayerPlayerNo=VALUE(RIGHT($A24,1)))*ROW(PlayerGender))-1)="M",INDEX(HoleParM,T$3,0),INDEX(HoleParF,T$3,0)),Stableford_Points,2))</f>
        <v/>
      </c>
      <c r="U27" s="11">
        <f>SUM(C27:T27)</f>
        <v>0</v>
      </c>
      <c r="V27" s="11" t="str">
        <f>IF($U27=0,"",F25-U27)</f>
        <v/>
      </c>
      <c r="W27" s="16" t="str">
        <f>IF(V27 = "","",_xlfn.RANK.EQ(V27,V:V,1))</f>
        <v/>
      </c>
      <c r="X27" s="7" t="str">
        <f>IF(V27="","",IF(COUNTIF(W:W,W27)&gt;1,CONCATENATE("T",W27),TEXT(W27,"0")))</f>
        <v/>
      </c>
      <c r="Y27" s="14" t="str">
        <f ca="1">IF(V27="","",IF(ISNA(VLOOKUP(W27,PlacePayouts,1,FALSE)),"",AVERAGE(OFFSET(PlacePayouts,VLOOKUP(W27,PlacePayouts,1,FALSE)-1,1,COUNTIF(W:W,W27)))*Kitty))</f>
        <v/>
      </c>
    </row>
    <row r="28" spans="1:25" ht="15.75" x14ac:dyDescent="0.25">
      <c r="A28" s="7"/>
      <c r="B28" s="7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2"/>
      <c r="W28" s="16"/>
      <c r="X28" s="7"/>
      <c r="Y28" s="14"/>
    </row>
    <row r="29" spans="1:25" ht="31.5" x14ac:dyDescent="0.25">
      <c r="A29" s="7" t="s">
        <v>54</v>
      </c>
      <c r="B29" s="7" t="s">
        <v>50</v>
      </c>
      <c r="C29" s="7" t="s">
        <v>0</v>
      </c>
      <c r="D29" s="8" t="s">
        <v>34</v>
      </c>
      <c r="E29" s="7" t="s">
        <v>55</v>
      </c>
      <c r="F29" s="9" t="s">
        <v>52</v>
      </c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12"/>
      <c r="W29" s="16"/>
      <c r="X29" s="7"/>
      <c r="Y29" s="14"/>
    </row>
    <row r="30" spans="1:25" ht="15.75" x14ac:dyDescent="0.25">
      <c r="A30" s="7" t="str" cm="1">
        <f t="array" ref="A30">INDEX(PlayerNames,SUMPRODUCT((PlayerPlayerNo=VALUE(RIGHT(A29,1)))*ROW(PlayerNames))-1)</f>
        <v>Ryan Sagastume</v>
      </c>
      <c r="B30" s="7" t="str" cm="1">
        <f t="array" ref="B30">INDEX(PlayerTees,SUMPRODUCT((PlayerPlayerNo=(VALUE(RIGHT($A29,1))))*ROW(PlayerNames))-1)</f>
        <v>Five</v>
      </c>
      <c r="C30" s="7" cm="1">
        <f t="array" ref="C30">MIN(30,INDEX(PlayerHandicaps,SUMPRODUCT((PlayerPlayerNo=VALUE(RIGHT($A29,1)))*ROW(PlayerHandicaps))-1))</f>
        <v>30</v>
      </c>
      <c r="D30" s="7" cm="1">
        <f t="array" ref="D30">IF(C30="","",IF(C30=0,0,IF(INDEX(PlayerGender,SUMPRODUCT((PlayerPlayerNo=VALUE(RIGHT($A29,1)))*ROW(PlayerGender))-1)="M",ROUND(($C30*(HLOOKUP($B30,MensTees,2,FALSE)/113))+(HLOOKUP(B30,MensTees,3,FALSE)-HLOOKUP($B30,MensTees,4,FALSE)),0),ROUND(($C30*(HLOOKUP($B30,WomensTees,2,FALSE)/113))+(HLOOKUP($B30,WomensTees,3,FALSE)-HLOOKUP($B30,WomensTees,4,FALSE)),0))))</f>
        <v>19</v>
      </c>
      <c r="E30">
        <f>$D30*Handicap_Allowance</f>
        <v>19</v>
      </c>
      <c r="F30" s="7">
        <f>36-D30</f>
        <v>17</v>
      </c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 t="s">
        <v>4</v>
      </c>
      <c r="V30" s="12"/>
      <c r="W30" s="16"/>
      <c r="X30" s="7"/>
      <c r="Y30" s="14"/>
    </row>
    <row r="31" spans="1:25" ht="15.75" x14ac:dyDescent="0.25">
      <c r="A31" s="7" t="str">
        <f>_xlfn.CONCAT(A30," Gross")</f>
        <v>Ryan Sagastume Gross</v>
      </c>
      <c r="B31" s="7"/>
      <c r="C31" s="11">
        <v>5</v>
      </c>
      <c r="D31" s="11">
        <v>7</v>
      </c>
      <c r="E31" s="11">
        <v>8</v>
      </c>
      <c r="F31" s="11">
        <v>5</v>
      </c>
      <c r="G31" s="11">
        <v>8</v>
      </c>
      <c r="H31" s="11">
        <v>6</v>
      </c>
      <c r="I31" s="11">
        <v>6</v>
      </c>
      <c r="J31" s="11">
        <v>6</v>
      </c>
      <c r="K31" s="11">
        <v>7</v>
      </c>
      <c r="L31" s="11">
        <v>6</v>
      </c>
      <c r="M31" s="11">
        <v>5</v>
      </c>
      <c r="N31" s="11">
        <v>5</v>
      </c>
      <c r="O31" s="11">
        <v>3</v>
      </c>
      <c r="P31" s="11">
        <v>5</v>
      </c>
      <c r="Q31" s="11">
        <v>5</v>
      </c>
      <c r="R31" s="11">
        <v>8</v>
      </c>
      <c r="S31" s="11">
        <v>4</v>
      </c>
      <c r="T31" s="11">
        <v>6</v>
      </c>
      <c r="U31" s="11"/>
      <c r="V31" s="12"/>
      <c r="W31" s="16"/>
      <c r="X31" s="7"/>
      <c r="Y31" s="14"/>
    </row>
    <row r="32" spans="1:25" ht="15.75" x14ac:dyDescent="0.25">
      <c r="A32" s="7" t="str">
        <f>_xlfn.CONCAT(A30," Stableford Points")</f>
        <v>Ryan Sagastume Stableford Points</v>
      </c>
      <c r="B32" s="7"/>
      <c r="C32" s="11" cm="1">
        <f t="array" ref="C32">IF(ISBLANK(C31),"",VLOOKUP(C31-IF(INDEX(PlayerGender,SUMPRODUCT((PlayerPlayerNo=VALUE(RIGHT($A29,1)))*ROW(PlayerGender))-1)="M",INDEX(HoleParM,C$3,0),INDEX(HoleParF,C$3,0)),Stableford_Points,2))</f>
        <v>1</v>
      </c>
      <c r="D32" s="11" cm="1">
        <f t="array" ref="D32">IF(ISBLANK(D31),"",VLOOKUP(D31-IF(INDEX(PlayerGender,SUMPRODUCT((PlayerPlayerNo=VALUE(RIGHT($A29,1)))*ROW(PlayerGender))-1)="M",INDEX(HoleParM,D$3,0),INDEX(HoleParF,D$3,0)),Stableford_Points,2))</f>
        <v>-1</v>
      </c>
      <c r="E32" s="11" cm="1">
        <f t="array" ref="E32">IF(ISBLANK(E31),"",VLOOKUP(E31-IF(INDEX(PlayerGender,SUMPRODUCT((PlayerPlayerNo=VALUE(RIGHT($A29,1)))*ROW(PlayerGender))-1)="M",INDEX(HoleParM,E$3,0),INDEX(HoleParF,E$3,0)),Stableford_Points,2))</f>
        <v>-1</v>
      </c>
      <c r="F32" s="11" cm="1">
        <f t="array" ref="F32">IF(ISBLANK(F31),"",VLOOKUP(F31-IF(INDEX(PlayerGender,SUMPRODUCT((PlayerPlayerNo=VALUE(RIGHT($A29,1)))*ROW(PlayerGender))-1)="M",INDEX(HoleParM,F$3,0),INDEX(HoleParF,F$3,0)),Stableford_Points,2))</f>
        <v>0</v>
      </c>
      <c r="G32" s="11" cm="1">
        <f t="array" ref="G32">IF(ISBLANK(G31),"",VLOOKUP(G31-IF(INDEX(PlayerGender,SUMPRODUCT((PlayerPlayerNo=VALUE(RIGHT($A29,1)))*ROW(PlayerGender))-1)="M",INDEX(HoleParM,G$3,0),INDEX(HoleParF,G$3,0)),Stableford_Points,2))</f>
        <v>-1</v>
      </c>
      <c r="H32" s="11" cm="1">
        <f t="array" ref="H32">IF(ISBLANK(H31),"",VLOOKUP(H31-IF(INDEX(PlayerGender,SUMPRODUCT((PlayerPlayerNo=VALUE(RIGHT($A29,1)))*ROW(PlayerGender))-1)="M",INDEX(HoleParM,H$3,0),INDEX(HoleParF,H$3,0)),Stableford_Points,2))</f>
        <v>0</v>
      </c>
      <c r="I32" s="11" cm="1">
        <f t="array" ref="I32">IF(ISBLANK(I31),"",VLOOKUP(I31-IF(INDEX(PlayerGender,SUMPRODUCT((PlayerPlayerNo=VALUE(RIGHT($A29,1)))*ROW(PlayerGender))-1)="M",INDEX(HoleParM,I$3,0),INDEX(HoleParF,I$3,0)),Stableford_Points,2))</f>
        <v>-1</v>
      </c>
      <c r="J32" s="11" cm="1">
        <f t="array" ref="J32">IF(ISBLANK(J31),"",VLOOKUP(J31-IF(INDEX(PlayerGender,SUMPRODUCT((PlayerPlayerNo=VALUE(RIGHT($A29,1)))*ROW(PlayerGender))-1)="M",INDEX(HoleParM,J$3,0),INDEX(HoleParF,J$3,0)),Stableford_Points,2))</f>
        <v>0</v>
      </c>
      <c r="K32" s="11" cm="1">
        <f t="array" ref="K32">IF(ISBLANK(K31),"",VLOOKUP(K31-IF(INDEX(PlayerGender,SUMPRODUCT((PlayerPlayerNo=VALUE(RIGHT($A29,1)))*ROW(PlayerGender))-1)="M",INDEX(HoleParM,K$3,0),INDEX(HoleParF,K$3,0)),Stableford_Points,2))</f>
        <v>-1</v>
      </c>
      <c r="L32" s="11" cm="1">
        <f t="array" ref="L32">IF(ISBLANK(L31),"",VLOOKUP(L31-IF(INDEX(PlayerGender,SUMPRODUCT((PlayerPlayerNo=VALUE(RIGHT($A29,1)))*ROW(PlayerGender))-1)="M",INDEX(HoleParM,L$3,0),INDEX(HoleParF,L$3,0)),Stableford_Points,2))</f>
        <v>0</v>
      </c>
      <c r="M32" s="11" cm="1">
        <f t="array" ref="M32">IF(ISBLANK(M31),"",VLOOKUP(M31-IF(INDEX(PlayerGender,SUMPRODUCT((PlayerPlayerNo=VALUE(RIGHT($A29,1)))*ROW(PlayerGender))-1)="M",INDEX(HoleParM,M$3,0),INDEX(HoleParF,M$3,0)),Stableford_Points,2))</f>
        <v>1</v>
      </c>
      <c r="N32" s="11" cm="1">
        <f t="array" ref="N32">IF(ISBLANK(N31),"",VLOOKUP(N31-IF(INDEX(PlayerGender,SUMPRODUCT((PlayerPlayerNo=VALUE(RIGHT($A29,1)))*ROW(PlayerGender))-1)="M",INDEX(HoleParM,N$3,0),INDEX(HoleParF,N$3,0)),Stableford_Points,2))</f>
        <v>1</v>
      </c>
      <c r="O32" s="11"/>
      <c r="P32" s="11" cm="1">
        <f t="array" ref="P32">IF(ISBLANK(P31),"",VLOOKUP(P31-IF(INDEX(PlayerGender,SUMPRODUCT((PlayerPlayerNo=VALUE(RIGHT($A29,1)))*ROW(PlayerGender))-1)="M",INDEX(HoleParM,P$3,0),INDEX(HoleParF,P$3,0)),Stableford_Points,2))</f>
        <v>2</v>
      </c>
      <c r="Q32" s="11" cm="1">
        <f t="array" ref="Q32">IF(ISBLANK(Q31),"",VLOOKUP(Q31-IF(INDEX(PlayerGender,SUMPRODUCT((PlayerPlayerNo=VALUE(RIGHT($A29,1)))*ROW(PlayerGender))-1)="M",INDEX(HoleParM,Q$3,0),INDEX(HoleParF,Q$3,0)),Stableford_Points,2))</f>
        <v>1</v>
      </c>
      <c r="R32" s="11" cm="1">
        <f t="array" ref="R32">IF(ISBLANK(R31),"",VLOOKUP(R31-IF(INDEX(PlayerGender,SUMPRODUCT((PlayerPlayerNo=VALUE(RIGHT($A29,1)))*ROW(PlayerGender))-1)="M",INDEX(HoleParM,R$3,0),INDEX(HoleParF,R$3,0)),Stableford_Points,2))</f>
        <v>-1</v>
      </c>
      <c r="S32" s="11" cm="1">
        <f t="array" ref="S32">IF(ISBLANK(S31),"",VLOOKUP(S31-IF(INDEX(PlayerGender,SUMPRODUCT((PlayerPlayerNo=VALUE(RIGHT($A29,1)))*ROW(PlayerGender))-1)="M",INDEX(HoleParM,S$3,0),INDEX(HoleParF,S$3,0)),Stableford_Points,2))</f>
        <v>1</v>
      </c>
      <c r="T32" s="11" cm="1">
        <f t="array" ref="T32">IF(ISBLANK(T31),"",VLOOKUP(T31-IF(INDEX(PlayerGender,SUMPRODUCT((PlayerPlayerNo=VALUE(RIGHT($A29,1)))*ROW(PlayerGender))-1)="M",INDEX(HoleParM,T$3,0),INDEX(HoleParF,T$3,0)),Stableford_Points,2))</f>
        <v>0</v>
      </c>
      <c r="U32" s="11">
        <f>SUM(C32:T32)</f>
        <v>1</v>
      </c>
      <c r="V32" s="11">
        <f>IF($U32=0,"",F30-U32)</f>
        <v>16</v>
      </c>
      <c r="W32" s="16">
        <f>IF(V32 = "","",_xlfn.RANK.EQ(V32,V:V,1))</f>
        <v>4</v>
      </c>
      <c r="X32" s="7" t="str">
        <f>IF(V32="","",IF(COUNTIF(W:W,W32)&gt;1,CONCATENATE("T",W32),TEXT(W32,"0")))</f>
        <v>4</v>
      </c>
      <c r="Y32" s="14">
        <f ca="1">IF(V32="","",IF(ISNA(VLOOKUP(W32,PlacePayouts,1,FALSE)),"",AVERAGE(OFFSET(PlacePayouts,VLOOKUP(W32,PlacePayouts,1,FALSE)-1,1,COUNTIF(W:W,W32)))*Kitty))</f>
        <v>0</v>
      </c>
    </row>
    <row r="33" spans="3:23" x14ac:dyDescent="0.25"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3:23" x14ac:dyDescent="0.25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3:23" x14ac:dyDescent="0.25"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</row>
    <row r="36" spans="3:23" x14ac:dyDescent="0.25"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</row>
    <row r="37" spans="3:23" x14ac:dyDescent="0.25"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</row>
    <row r="38" spans="3:23" x14ac:dyDescent="0.25"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</row>
    <row r="39" spans="3:23" x14ac:dyDescent="0.25"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</row>
    <row r="40" spans="3:23" x14ac:dyDescent="0.25"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</row>
    <row r="41" spans="3:23" x14ac:dyDescent="0.25"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18"/>
    </row>
    <row r="43" spans="3:23" x14ac:dyDescent="0.25">
      <c r="D43" s="5"/>
      <c r="E43" s="6"/>
    </row>
    <row r="46" spans="3:23" x14ac:dyDescent="0.25"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3:23" x14ac:dyDescent="0.25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3:23" x14ac:dyDescent="0.25"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</row>
    <row r="49" spans="3:23" x14ac:dyDescent="0.25"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</row>
    <row r="50" spans="3:23" x14ac:dyDescent="0.25"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</row>
    <row r="51" spans="3:23" x14ac:dyDescent="0.25"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</row>
    <row r="52" spans="3:23" x14ac:dyDescent="0.25"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</row>
    <row r="53" spans="3:23" x14ac:dyDescent="0.25"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</row>
    <row r="54" spans="3:23" x14ac:dyDescent="0.25"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18"/>
    </row>
  </sheetData>
  <conditionalFormatting sqref="U11:U12">
    <cfRule type="cellIs" dxfId="4" priority="5" operator="equal">
      <formula>0</formula>
    </cfRule>
  </conditionalFormatting>
  <conditionalFormatting sqref="U16:U17">
    <cfRule type="cellIs" dxfId="3" priority="4" operator="equal">
      <formula>0</formula>
    </cfRule>
  </conditionalFormatting>
  <conditionalFormatting sqref="U21:U22">
    <cfRule type="cellIs" dxfId="2" priority="3" operator="equal">
      <formula>0</formula>
    </cfRule>
  </conditionalFormatting>
  <conditionalFormatting sqref="U26:U27">
    <cfRule type="cellIs" dxfId="1" priority="2" operator="equal">
      <formula>0</formula>
    </cfRule>
  </conditionalFormatting>
  <conditionalFormatting sqref="U31:U32">
    <cfRule type="cellIs" dxfId="0" priority="1" operator="equal">
      <formula>0</formula>
    </cfRule>
  </conditionalFormatting>
  <printOptions gridLines="1"/>
  <pageMargins left="0.2" right="0.2" top="0.2" bottom="0.2" header="0" footer="0"/>
  <pageSetup scale="6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A663B-535C-4AFC-8173-500F8E61D7C9}">
  <dimension ref="A1:F7"/>
  <sheetViews>
    <sheetView workbookViewId="0">
      <selection activeCell="F4" sqref="F4"/>
    </sheetView>
  </sheetViews>
  <sheetFormatPr defaultRowHeight="15" x14ac:dyDescent="0.25"/>
  <cols>
    <col min="1" max="1" width="14.140625" bestFit="1" customWidth="1"/>
    <col min="6" max="6" width="11" bestFit="1" customWidth="1"/>
  </cols>
  <sheetData>
    <row r="1" spans="1:6" x14ac:dyDescent="0.25">
      <c r="B1" t="s">
        <v>5</v>
      </c>
      <c r="C1" t="s">
        <v>6</v>
      </c>
      <c r="D1" t="s">
        <v>15</v>
      </c>
      <c r="E1" t="s">
        <v>50</v>
      </c>
      <c r="F1" t="s">
        <v>49</v>
      </c>
    </row>
    <row r="2" spans="1:6" x14ac:dyDescent="0.25">
      <c r="A2" t="s">
        <v>2</v>
      </c>
      <c r="B2">
        <v>29.1</v>
      </c>
      <c r="C2">
        <v>5</v>
      </c>
      <c r="D2" t="s">
        <v>16</v>
      </c>
      <c r="E2" t="s">
        <v>47</v>
      </c>
      <c r="F2" s="14">
        <v>20</v>
      </c>
    </row>
    <row r="3" spans="1:6" x14ac:dyDescent="0.25">
      <c r="A3" t="s">
        <v>24</v>
      </c>
      <c r="B3">
        <v>13.3</v>
      </c>
      <c r="C3">
        <v>1</v>
      </c>
      <c r="D3" t="s">
        <v>16</v>
      </c>
      <c r="E3" t="s">
        <v>45</v>
      </c>
      <c r="F3" s="14">
        <v>20</v>
      </c>
    </row>
    <row r="4" spans="1:6" x14ac:dyDescent="0.25">
      <c r="A4" t="s">
        <v>46</v>
      </c>
      <c r="B4">
        <v>35.799999999999997</v>
      </c>
      <c r="C4">
        <v>2</v>
      </c>
      <c r="D4" t="s">
        <v>16</v>
      </c>
      <c r="E4" t="s">
        <v>47</v>
      </c>
      <c r="F4" s="14">
        <v>20</v>
      </c>
    </row>
    <row r="5" spans="1:6" x14ac:dyDescent="0.25">
      <c r="A5" t="s">
        <v>32</v>
      </c>
      <c r="B5">
        <v>28</v>
      </c>
      <c r="C5">
        <v>3</v>
      </c>
      <c r="D5" t="s">
        <v>16</v>
      </c>
      <c r="E5" t="s">
        <v>47</v>
      </c>
      <c r="F5" s="14">
        <v>20</v>
      </c>
    </row>
    <row r="6" spans="1:6" x14ac:dyDescent="0.25">
      <c r="A6" t="s">
        <v>33</v>
      </c>
      <c r="B6">
        <v>12.2</v>
      </c>
      <c r="C6">
        <v>4</v>
      </c>
      <c r="D6" t="s">
        <v>16</v>
      </c>
      <c r="E6" t="s">
        <v>45</v>
      </c>
      <c r="F6" s="14">
        <v>20</v>
      </c>
    </row>
    <row r="7" spans="1:6" x14ac:dyDescent="0.25">
      <c r="A7" t="s">
        <v>53</v>
      </c>
      <c r="B7">
        <v>40</v>
      </c>
      <c r="C7">
        <v>6</v>
      </c>
      <c r="D7" t="s">
        <v>16</v>
      </c>
      <c r="E7" t="s">
        <v>48</v>
      </c>
      <c r="F7" s="14">
        <v>20</v>
      </c>
    </row>
  </sheetData>
  <sortState xmlns:xlrd2="http://schemas.microsoft.com/office/spreadsheetml/2017/richdata2" ref="A2:C6">
    <sortCondition ref="C2:C6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6AB4A-C363-4148-AA80-F3F659AFB420}">
  <dimension ref="A1:M22"/>
  <sheetViews>
    <sheetView workbookViewId="0">
      <selection activeCell="B14" sqref="B14"/>
    </sheetView>
  </sheetViews>
  <sheetFormatPr defaultRowHeight="15" x14ac:dyDescent="0.25"/>
  <cols>
    <col min="1" max="1" width="26.140625" bestFit="1" customWidth="1"/>
  </cols>
  <sheetData>
    <row r="1" spans="1:13" x14ac:dyDescent="0.25">
      <c r="A1" t="s">
        <v>7</v>
      </c>
      <c r="B1" t="s">
        <v>31</v>
      </c>
      <c r="G1" t="s">
        <v>28</v>
      </c>
      <c r="H1" t="s">
        <v>28</v>
      </c>
      <c r="I1" t="s">
        <v>29</v>
      </c>
      <c r="J1" t="s">
        <v>29</v>
      </c>
      <c r="L1" t="s">
        <v>35</v>
      </c>
    </row>
    <row r="2" spans="1:13" x14ac:dyDescent="0.25">
      <c r="A2" t="s">
        <v>8</v>
      </c>
      <c r="B2" t="s">
        <v>45</v>
      </c>
      <c r="C2" t="s">
        <v>47</v>
      </c>
      <c r="D2" t="s">
        <v>48</v>
      </c>
      <c r="F2" t="s">
        <v>25</v>
      </c>
      <c r="G2" t="s">
        <v>26</v>
      </c>
      <c r="H2" t="s">
        <v>27</v>
      </c>
      <c r="I2" t="s">
        <v>26</v>
      </c>
      <c r="J2" t="s">
        <v>27</v>
      </c>
      <c r="L2">
        <v>-3</v>
      </c>
      <c r="M2">
        <v>8</v>
      </c>
    </row>
    <row r="3" spans="1:13" x14ac:dyDescent="0.25">
      <c r="A3" t="s">
        <v>9</v>
      </c>
      <c r="B3">
        <v>123</v>
      </c>
      <c r="C3">
        <v>110</v>
      </c>
      <c r="D3">
        <v>102</v>
      </c>
      <c r="F3">
        <v>1</v>
      </c>
      <c r="G3">
        <v>11</v>
      </c>
      <c r="H3">
        <v>4</v>
      </c>
      <c r="I3">
        <v>13</v>
      </c>
      <c r="J3">
        <v>4</v>
      </c>
      <c r="L3">
        <v>-2</v>
      </c>
      <c r="M3">
        <v>8</v>
      </c>
    </row>
    <row r="4" spans="1:13" x14ac:dyDescent="0.25">
      <c r="A4" t="s">
        <v>10</v>
      </c>
      <c r="B4">
        <v>68.900000000000006</v>
      </c>
      <c r="C4">
        <v>66.5</v>
      </c>
      <c r="D4">
        <v>63.6</v>
      </c>
      <c r="F4">
        <v>2</v>
      </c>
      <c r="G4">
        <v>3</v>
      </c>
      <c r="H4">
        <v>4</v>
      </c>
      <c r="I4">
        <v>3</v>
      </c>
      <c r="J4">
        <v>4</v>
      </c>
      <c r="L4">
        <v>-1</v>
      </c>
      <c r="M4">
        <v>4</v>
      </c>
    </row>
    <row r="5" spans="1:13" x14ac:dyDescent="0.25">
      <c r="A5" t="s">
        <v>12</v>
      </c>
      <c r="B5">
        <v>72</v>
      </c>
      <c r="C5">
        <v>72</v>
      </c>
      <c r="D5">
        <v>72</v>
      </c>
      <c r="F5">
        <v>3</v>
      </c>
      <c r="G5">
        <v>7</v>
      </c>
      <c r="H5">
        <v>5</v>
      </c>
      <c r="I5">
        <v>5</v>
      </c>
      <c r="J5">
        <v>3</v>
      </c>
      <c r="L5">
        <v>0</v>
      </c>
      <c r="M5">
        <v>2</v>
      </c>
    </row>
    <row r="6" spans="1:13" x14ac:dyDescent="0.25">
      <c r="A6" t="s">
        <v>18</v>
      </c>
      <c r="B6" t="s">
        <v>48</v>
      </c>
      <c r="F6">
        <v>4</v>
      </c>
      <c r="G6">
        <v>15</v>
      </c>
      <c r="H6">
        <v>3</v>
      </c>
      <c r="I6">
        <v>17</v>
      </c>
      <c r="J6">
        <v>5</v>
      </c>
      <c r="L6">
        <v>1</v>
      </c>
      <c r="M6">
        <v>1</v>
      </c>
    </row>
    <row r="7" spans="1:13" x14ac:dyDescent="0.25">
      <c r="A7" t="s">
        <v>11</v>
      </c>
      <c r="B7">
        <v>113</v>
      </c>
      <c r="F7">
        <v>5</v>
      </c>
      <c r="G7">
        <v>9</v>
      </c>
      <c r="H7">
        <v>5</v>
      </c>
      <c r="I7">
        <v>9</v>
      </c>
      <c r="J7">
        <v>4</v>
      </c>
      <c r="L7">
        <v>2</v>
      </c>
      <c r="M7">
        <v>0</v>
      </c>
    </row>
    <row r="8" spans="1:13" x14ac:dyDescent="0.25">
      <c r="A8" t="s">
        <v>13</v>
      </c>
      <c r="B8">
        <v>67.900000000000006</v>
      </c>
      <c r="F8">
        <v>6</v>
      </c>
      <c r="G8">
        <v>5</v>
      </c>
      <c r="H8">
        <v>4</v>
      </c>
      <c r="I8">
        <v>7</v>
      </c>
      <c r="J8">
        <v>4</v>
      </c>
      <c r="L8">
        <v>3</v>
      </c>
      <c r="M8">
        <v>-1</v>
      </c>
    </row>
    <row r="9" spans="1:13" x14ac:dyDescent="0.25">
      <c r="A9" t="s">
        <v>14</v>
      </c>
      <c r="B9">
        <v>72</v>
      </c>
      <c r="F9">
        <v>7</v>
      </c>
      <c r="G9">
        <v>17</v>
      </c>
      <c r="H9">
        <v>3</v>
      </c>
      <c r="I9">
        <v>15</v>
      </c>
      <c r="J9">
        <v>3</v>
      </c>
      <c r="L9">
        <v>4</v>
      </c>
      <c r="M9">
        <v>-1</v>
      </c>
    </row>
    <row r="10" spans="1:13" x14ac:dyDescent="0.25">
      <c r="A10" t="s">
        <v>17</v>
      </c>
      <c r="B10" s="4">
        <v>1</v>
      </c>
      <c r="F10">
        <v>8</v>
      </c>
      <c r="G10">
        <v>13</v>
      </c>
      <c r="H10">
        <v>4</v>
      </c>
      <c r="I10">
        <v>11</v>
      </c>
      <c r="J10">
        <v>5</v>
      </c>
      <c r="L10">
        <v>5</v>
      </c>
      <c r="M10">
        <v>-1</v>
      </c>
    </row>
    <row r="11" spans="1:13" x14ac:dyDescent="0.25">
      <c r="A11" t="s">
        <v>41</v>
      </c>
      <c r="B11">
        <v>30</v>
      </c>
      <c r="F11">
        <v>9</v>
      </c>
      <c r="G11">
        <v>1</v>
      </c>
      <c r="H11">
        <v>4</v>
      </c>
      <c r="I11">
        <v>1</v>
      </c>
      <c r="J11">
        <v>4</v>
      </c>
      <c r="L11">
        <v>6</v>
      </c>
      <c r="M11">
        <v>-1</v>
      </c>
    </row>
    <row r="12" spans="1:13" x14ac:dyDescent="0.25">
      <c r="F12">
        <v>10</v>
      </c>
      <c r="G12">
        <v>8</v>
      </c>
      <c r="H12">
        <v>4</v>
      </c>
      <c r="I12">
        <v>10</v>
      </c>
      <c r="J12">
        <v>4</v>
      </c>
      <c r="L12">
        <v>7</v>
      </c>
      <c r="M12">
        <v>-1</v>
      </c>
    </row>
    <row r="13" spans="1:13" x14ac:dyDescent="0.25">
      <c r="A13" t="s">
        <v>20</v>
      </c>
      <c r="F13">
        <v>11</v>
      </c>
      <c r="G13">
        <v>4</v>
      </c>
      <c r="H13">
        <v>4</v>
      </c>
      <c r="I13">
        <v>8</v>
      </c>
      <c r="J13">
        <v>3</v>
      </c>
      <c r="L13">
        <v>8</v>
      </c>
      <c r="M13">
        <v>-1</v>
      </c>
    </row>
    <row r="14" spans="1:13" x14ac:dyDescent="0.25">
      <c r="A14" t="s">
        <v>21</v>
      </c>
      <c r="B14" s="14">
        <f>SUM(EntryFees)</f>
        <v>120</v>
      </c>
      <c r="F14">
        <v>12</v>
      </c>
      <c r="G14">
        <v>10</v>
      </c>
      <c r="H14">
        <v>4</v>
      </c>
      <c r="I14">
        <v>6</v>
      </c>
      <c r="J14">
        <v>4</v>
      </c>
      <c r="L14">
        <v>9</v>
      </c>
      <c r="M14">
        <v>-1</v>
      </c>
    </row>
    <row r="15" spans="1:13" x14ac:dyDescent="0.25">
      <c r="A15" t="s">
        <v>22</v>
      </c>
      <c r="B15" t="s">
        <v>23</v>
      </c>
      <c r="F15">
        <v>13</v>
      </c>
      <c r="G15">
        <v>16</v>
      </c>
      <c r="H15">
        <v>3</v>
      </c>
      <c r="I15">
        <v>16</v>
      </c>
      <c r="J15">
        <v>4</v>
      </c>
      <c r="L15">
        <v>10</v>
      </c>
      <c r="M15">
        <v>-1</v>
      </c>
    </row>
    <row r="16" spans="1:13" x14ac:dyDescent="0.25">
      <c r="A16">
        <v>1</v>
      </c>
      <c r="B16" s="4">
        <v>0.4</v>
      </c>
      <c r="F16">
        <v>14</v>
      </c>
      <c r="G16">
        <v>12</v>
      </c>
      <c r="H16">
        <v>5</v>
      </c>
      <c r="I16">
        <v>14</v>
      </c>
      <c r="J16">
        <v>5</v>
      </c>
    </row>
    <row r="17" spans="1:10" x14ac:dyDescent="0.25">
      <c r="A17">
        <v>2</v>
      </c>
      <c r="B17" s="4">
        <v>0.2</v>
      </c>
      <c r="F17">
        <v>15</v>
      </c>
      <c r="G17">
        <v>14</v>
      </c>
      <c r="H17">
        <v>4</v>
      </c>
      <c r="I17">
        <v>12</v>
      </c>
      <c r="J17">
        <v>4</v>
      </c>
    </row>
    <row r="18" spans="1:10" x14ac:dyDescent="0.25">
      <c r="A18">
        <v>3</v>
      </c>
      <c r="B18" s="4">
        <v>0</v>
      </c>
      <c r="F18">
        <v>16</v>
      </c>
      <c r="G18">
        <v>2</v>
      </c>
      <c r="H18">
        <v>5</v>
      </c>
      <c r="I18">
        <v>4</v>
      </c>
      <c r="J18">
        <v>4</v>
      </c>
    </row>
    <row r="19" spans="1:10" x14ac:dyDescent="0.25">
      <c r="A19">
        <v>4</v>
      </c>
      <c r="B19" s="4">
        <v>0</v>
      </c>
      <c r="F19">
        <v>17</v>
      </c>
      <c r="G19">
        <v>18</v>
      </c>
      <c r="H19">
        <v>3</v>
      </c>
      <c r="I19">
        <v>18</v>
      </c>
      <c r="J19">
        <v>3</v>
      </c>
    </row>
    <row r="20" spans="1:10" x14ac:dyDescent="0.25">
      <c r="A20">
        <v>5</v>
      </c>
      <c r="B20" s="4">
        <v>0</v>
      </c>
      <c r="F20">
        <v>18</v>
      </c>
      <c r="G20">
        <v>6</v>
      </c>
      <c r="H20">
        <v>4</v>
      </c>
      <c r="I20">
        <v>2</v>
      </c>
      <c r="J20">
        <v>5</v>
      </c>
    </row>
    <row r="21" spans="1:10" x14ac:dyDescent="0.25">
      <c r="A21">
        <v>6</v>
      </c>
      <c r="B21" s="4">
        <v>0</v>
      </c>
      <c r="F21" t="s">
        <v>30</v>
      </c>
      <c r="G21" t="str">
        <f>IF(SUM(_xlfn.SEQUENCE(18,,1,1))=SUM(G3:G20),"Good","Bad")</f>
        <v>Good</v>
      </c>
      <c r="H21">
        <f>SUM(H3:H20)</f>
        <v>72</v>
      </c>
      <c r="I21" t="str">
        <f>IF(SUM(_xlfn.SEQUENCE(18,,1,1))=SUM(I3:I20),"Good","Bad")</f>
        <v>Good</v>
      </c>
      <c r="J21">
        <f>SUM(J3:J20)</f>
        <v>72</v>
      </c>
    </row>
    <row r="22" spans="1:10" x14ac:dyDescent="0.25">
      <c r="A22">
        <v>7</v>
      </c>
      <c r="B22" s="4">
        <v>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B8927-46FA-4AE0-A75A-DE5F783F3E3F}">
  <dimension ref="A1:C8"/>
  <sheetViews>
    <sheetView workbookViewId="0">
      <selection activeCell="C8" sqref="C8"/>
    </sheetView>
  </sheetViews>
  <sheetFormatPr defaultRowHeight="15" x14ac:dyDescent="0.25"/>
  <cols>
    <col min="1" max="1" width="16.28515625" bestFit="1" customWidth="1"/>
  </cols>
  <sheetData>
    <row r="1" spans="1:3" x14ac:dyDescent="0.25">
      <c r="A1" t="s">
        <v>58</v>
      </c>
    </row>
    <row r="2" spans="1:3" x14ac:dyDescent="0.25">
      <c r="A2" t="s">
        <v>61</v>
      </c>
      <c r="B2" s="4">
        <v>0.4</v>
      </c>
    </row>
    <row r="3" spans="1:3" x14ac:dyDescent="0.25">
      <c r="A3" t="s">
        <v>62</v>
      </c>
      <c r="B3" s="20">
        <f>SUM(EntryFees)*B2</f>
        <v>48</v>
      </c>
    </row>
    <row r="4" spans="1:3" x14ac:dyDescent="0.25">
      <c r="A4" t="s">
        <v>63</v>
      </c>
      <c r="B4" s="21">
        <f>COUNTIF(HoleParM,3)</f>
        <v>4</v>
      </c>
      <c r="C4" t="str">
        <f>IF(SUM(B6:B10)&gt;B4,"ERROR","")</f>
        <v/>
      </c>
    </row>
    <row r="5" spans="1:3" x14ac:dyDescent="0.25">
      <c r="A5" t="s">
        <v>6</v>
      </c>
      <c r="B5" t="s">
        <v>59</v>
      </c>
      <c r="C5" t="s">
        <v>60</v>
      </c>
    </row>
    <row r="6" spans="1:3" x14ac:dyDescent="0.25">
      <c r="A6" t="s">
        <v>2</v>
      </c>
      <c r="B6">
        <v>1</v>
      </c>
      <c r="C6" s="22">
        <f>($B$3/SUM($B$6:$B$10))*B6</f>
        <v>16</v>
      </c>
    </row>
    <row r="7" spans="1:3" x14ac:dyDescent="0.25">
      <c r="A7" t="s">
        <v>24</v>
      </c>
      <c r="B7">
        <v>1</v>
      </c>
      <c r="C7" s="22">
        <f>($B$3/SUM($B$6:$B$10))*B7</f>
        <v>16</v>
      </c>
    </row>
    <row r="8" spans="1:3" x14ac:dyDescent="0.25">
      <c r="A8" t="s">
        <v>53</v>
      </c>
      <c r="B8">
        <v>1</v>
      </c>
      <c r="C8" s="22">
        <f>($B$3/SUM($B$6:$B$10))*B8</f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2022 March Stableford Scores</vt:lpstr>
      <vt:lpstr>Players</vt:lpstr>
      <vt:lpstr>Course &amp; Tourney</vt:lpstr>
      <vt:lpstr>Par 3 Results</vt:lpstr>
      <vt:lpstr>EntryFees</vt:lpstr>
      <vt:lpstr>Handicap_Allowance</vt:lpstr>
      <vt:lpstr>HoleHandicapF</vt:lpstr>
      <vt:lpstr>HoleHandicapM</vt:lpstr>
      <vt:lpstr>HoleInfo</vt:lpstr>
      <vt:lpstr>HoleParF</vt:lpstr>
      <vt:lpstr>HoleParM</vt:lpstr>
      <vt:lpstr>Kitty</vt:lpstr>
      <vt:lpstr>Max_Handicap</vt:lpstr>
      <vt:lpstr>MensTees</vt:lpstr>
      <vt:lpstr>PlacePayouts</vt:lpstr>
      <vt:lpstr>PlayerGender</vt:lpstr>
      <vt:lpstr>PlayerHandicaps</vt:lpstr>
      <vt:lpstr>PlayerNames</vt:lpstr>
      <vt:lpstr>PlayerPlayerNo</vt:lpstr>
      <vt:lpstr>PlayersTees</vt:lpstr>
      <vt:lpstr>PlayerTees</vt:lpstr>
      <vt:lpstr>'2022 March Stableford Scores'!Print_Area</vt:lpstr>
      <vt:lpstr>Stableford_Points</vt:lpstr>
      <vt:lpstr>WomensTees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Dad's Gaming PC</dc:creator>
  <cp:lastModifiedBy>Dad's Gaming PC</cp:lastModifiedBy>
  <cp:lastPrinted>2022-03-20T04:50:24Z</cp:lastPrinted>
  <dcterms:created xsi:type="dcterms:W3CDTF">2020-11-08T06:36:47Z</dcterms:created>
  <dcterms:modified xsi:type="dcterms:W3CDTF">2022-08-30T14:56:31Z</dcterms:modified>
</cp:coreProperties>
</file>