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d's Gaming PC\Documents\John Personal\"/>
    </mc:Choice>
  </mc:AlternateContent>
  <xr:revisionPtr revIDLastSave="0" documentId="13_ncr:1_{F5F789D3-48AF-4601-91B5-549AA0BFDE94}" xr6:coauthVersionLast="47" xr6:coauthVersionMax="47" xr10:uidLastSave="{00000000-0000-0000-0000-000000000000}"/>
  <bookViews>
    <workbookView xWindow="-120" yWindow="-120" windowWidth="29040" windowHeight="15840" xr2:uid="{154BBAC1-B773-4CBF-97A2-0D3C1BE39B36}"/>
  </bookViews>
  <sheets>
    <sheet name="2021 HAF MAST Scoresheet" sheetId="1" r:id="rId1"/>
    <sheet name="Players" sheetId="2" r:id="rId2"/>
    <sheet name="Course &amp; Tourney" sheetId="3" r:id="rId3"/>
  </sheets>
  <definedNames>
    <definedName name="EntryFees">Players!$F$2:$F$11</definedName>
    <definedName name="HoleHandicapF">'Course &amp; Tourney'!$I$3:$I$20</definedName>
    <definedName name="HoleHandicapM">'Course &amp; Tourney'!$G$3:$G$20</definedName>
    <definedName name="HoleInfo">'Course &amp; Tourney'!$F$3:$F$20</definedName>
    <definedName name="HoleParF">'Course &amp; Tourney'!$J$3:$J$20</definedName>
    <definedName name="HoleParM">'Course &amp; Tourney'!$H$3:$H$20</definedName>
    <definedName name="Kitty">'Course &amp; Tourney'!$B$13</definedName>
    <definedName name="PlacePayouts">'Course &amp; Tourney'!$A$15:$B$20</definedName>
    <definedName name="PlayerGender">Players!$E$2:$E$11</definedName>
    <definedName name="PlayerHandicaps">Players!$B$2:$B$11</definedName>
    <definedName name="PlayerNames">Players!$A$2:$A$11</definedName>
    <definedName name="PlayerPlayerNo">Players!$D$2:$D$11</definedName>
    <definedName name="PlayerTeamNo">Players!$C$2:$C$11</definedName>
    <definedName name="_xlnm.Print_Area" localSheetId="0">'2021 HAF MAST Scoresheet'!$A$1:$X$55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5" i="1" l="1"/>
  <c r="X44" i="1"/>
  <c r="X22" i="1"/>
  <c r="U44" i="1"/>
  <c r="T52" i="1"/>
  <c r="T41" i="1"/>
  <c r="T30" i="1"/>
  <c r="T19" i="1"/>
  <c r="T8" i="1"/>
  <c r="T53" i="1"/>
  <c r="T42" i="1"/>
  <c r="T31" i="1"/>
  <c r="T20" i="1"/>
  <c r="T9" i="1"/>
  <c r="B26" i="1" a="1"/>
  <c r="B26" i="1"/>
  <c r="C26" i="1" a="1"/>
  <c r="C26" i="1"/>
  <c r="D26" i="1"/>
  <c r="J21" i="3"/>
  <c r="H21" i="3"/>
  <c r="B13" i="3"/>
  <c r="B49" i="1" a="1"/>
  <c r="B49" i="1"/>
  <c r="C49" i="1" a="1"/>
  <c r="C49" i="1"/>
  <c r="D49" i="1"/>
  <c r="B48" i="1" a="1"/>
  <c r="B48" i="1"/>
  <c r="C48" i="1" a="1"/>
  <c r="C48" i="1"/>
  <c r="D48" i="1"/>
  <c r="B38" i="1" a="1"/>
  <c r="B38" i="1"/>
  <c r="C38" i="1" a="1"/>
  <c r="C38" i="1"/>
  <c r="D38" i="1"/>
  <c r="B37" i="1" a="1"/>
  <c r="B37" i="1"/>
  <c r="C37" i="1" a="1"/>
  <c r="C37" i="1"/>
  <c r="D37" i="1"/>
  <c r="B27" i="1" a="1"/>
  <c r="B27" i="1"/>
  <c r="C27" i="1" a="1"/>
  <c r="C27" i="1"/>
  <c r="D27" i="1"/>
  <c r="B16" i="1" a="1"/>
  <c r="B16" i="1"/>
  <c r="C16" i="1" a="1"/>
  <c r="C16" i="1"/>
  <c r="D16" i="1"/>
  <c r="B15" i="1" a="1"/>
  <c r="B15" i="1"/>
  <c r="C15" i="1" a="1"/>
  <c r="C15" i="1"/>
  <c r="D15" i="1"/>
  <c r="B5" i="1" a="1"/>
  <c r="B5" i="1"/>
  <c r="C5" i="1" a="1"/>
  <c r="C5" i="1"/>
  <c r="D5" i="1"/>
  <c r="B4" i="1" a="1"/>
  <c r="B4" i="1"/>
  <c r="C4" i="1" a="1"/>
  <c r="C4" i="1"/>
  <c r="D4" i="1"/>
  <c r="A49" i="1" a="1"/>
  <c r="A49" i="1"/>
  <c r="A48" i="1" a="1"/>
  <c r="A48" i="1"/>
  <c r="A38" i="1" a="1"/>
  <c r="A38" i="1"/>
  <c r="A37" i="1" a="1"/>
  <c r="A37" i="1"/>
  <c r="A27" i="1" a="1"/>
  <c r="A27" i="1"/>
  <c r="A26" i="1" a="1"/>
  <c r="A26" i="1"/>
  <c r="A30" i="1"/>
  <c r="A16" i="1" a="1"/>
  <c r="A16" i="1"/>
  <c r="A15" i="1" a="1"/>
  <c r="A15" i="1"/>
  <c r="A5" i="1" a="1"/>
  <c r="A5" i="1"/>
  <c r="A4" i="1" a="1"/>
  <c r="A4" i="1"/>
  <c r="A8" i="1"/>
  <c r="A52" i="1"/>
  <c r="A41" i="1"/>
  <c r="A19" i="1"/>
  <c r="F4" i="1"/>
  <c r="E10" i="1"/>
  <c r="E11" i="1"/>
  <c r="F37" i="1"/>
  <c r="F15" i="1"/>
  <c r="F26" i="1"/>
  <c r="F48" i="1"/>
  <c r="R54" i="1"/>
  <c r="R55" i="1"/>
  <c r="J54" i="1"/>
  <c r="J55" i="1"/>
  <c r="B54" i="1"/>
  <c r="Q54" i="1"/>
  <c r="Q55" i="1"/>
  <c r="I54" i="1"/>
  <c r="I55" i="1"/>
  <c r="P54" i="1"/>
  <c r="P55" i="1"/>
  <c r="H54" i="1"/>
  <c r="H55" i="1"/>
  <c r="O54" i="1"/>
  <c r="O55" i="1"/>
  <c r="G54" i="1"/>
  <c r="G55" i="1"/>
  <c r="N54" i="1"/>
  <c r="N55" i="1"/>
  <c r="F54" i="1"/>
  <c r="F55" i="1"/>
  <c r="M54" i="1"/>
  <c r="M55" i="1"/>
  <c r="E54" i="1"/>
  <c r="E55" i="1"/>
  <c r="L54" i="1"/>
  <c r="L55" i="1"/>
  <c r="D54" i="1"/>
  <c r="D55" i="1"/>
  <c r="S54" i="1"/>
  <c r="S55" i="1"/>
  <c r="K54" i="1"/>
  <c r="K55" i="1"/>
  <c r="C54" i="1"/>
  <c r="C55" i="1"/>
  <c r="Q10" i="1"/>
  <c r="Q11" i="1"/>
  <c r="O43" i="1"/>
  <c r="O44" i="1"/>
  <c r="G43" i="1"/>
  <c r="G44" i="1"/>
  <c r="N43" i="1"/>
  <c r="N44" i="1"/>
  <c r="F43" i="1"/>
  <c r="F44" i="1"/>
  <c r="M43" i="1"/>
  <c r="M44" i="1"/>
  <c r="E43" i="1"/>
  <c r="E44" i="1"/>
  <c r="L43" i="1"/>
  <c r="L44" i="1"/>
  <c r="D43" i="1"/>
  <c r="D44" i="1"/>
  <c r="S43" i="1"/>
  <c r="S44" i="1"/>
  <c r="K43" i="1"/>
  <c r="K44" i="1"/>
  <c r="C43" i="1"/>
  <c r="C44" i="1"/>
  <c r="P43" i="1"/>
  <c r="P44" i="1"/>
  <c r="R43" i="1"/>
  <c r="R44" i="1"/>
  <c r="J43" i="1"/>
  <c r="J44" i="1"/>
  <c r="B43" i="1"/>
  <c r="H43" i="1"/>
  <c r="H44" i="1"/>
  <c r="Q43" i="1"/>
  <c r="Q44" i="1"/>
  <c r="I43" i="1"/>
  <c r="I44" i="1"/>
  <c r="P10" i="1"/>
  <c r="P11" i="1"/>
  <c r="S32" i="1"/>
  <c r="S33" i="1"/>
  <c r="K32" i="1"/>
  <c r="K33" i="1"/>
  <c r="C32" i="1"/>
  <c r="C33" i="1"/>
  <c r="L32" i="1"/>
  <c r="L33" i="1"/>
  <c r="R32" i="1"/>
  <c r="R33" i="1"/>
  <c r="J32" i="1"/>
  <c r="J33" i="1"/>
  <c r="B32" i="1"/>
  <c r="Q32" i="1"/>
  <c r="Q33" i="1"/>
  <c r="I32" i="1"/>
  <c r="I33" i="1"/>
  <c r="D32" i="1"/>
  <c r="D33" i="1"/>
  <c r="P32" i="1"/>
  <c r="P33" i="1"/>
  <c r="H32" i="1"/>
  <c r="H33" i="1"/>
  <c r="O32" i="1"/>
  <c r="O33" i="1"/>
  <c r="G32" i="1"/>
  <c r="G33" i="1"/>
  <c r="M32" i="1"/>
  <c r="M33" i="1"/>
  <c r="E32" i="1"/>
  <c r="E33" i="1"/>
  <c r="N32" i="1"/>
  <c r="N33" i="1"/>
  <c r="F32" i="1"/>
  <c r="F33" i="1"/>
  <c r="M21" i="1"/>
  <c r="M22" i="1"/>
  <c r="E21" i="1"/>
  <c r="E22" i="1"/>
  <c r="N21" i="1"/>
  <c r="N22" i="1"/>
  <c r="L21" i="1"/>
  <c r="L22" i="1"/>
  <c r="D21" i="1"/>
  <c r="D22" i="1"/>
  <c r="S21" i="1"/>
  <c r="S22" i="1"/>
  <c r="K21" i="1"/>
  <c r="K22" i="1"/>
  <c r="C21" i="1"/>
  <c r="C22" i="1"/>
  <c r="F21" i="1"/>
  <c r="F22" i="1"/>
  <c r="R21" i="1"/>
  <c r="R22" i="1"/>
  <c r="J21" i="1"/>
  <c r="J22" i="1"/>
  <c r="B21" i="1"/>
  <c r="B22" i="1"/>
  <c r="O21" i="1"/>
  <c r="O22" i="1"/>
  <c r="Q21" i="1"/>
  <c r="Q22" i="1"/>
  <c r="I21" i="1"/>
  <c r="I22" i="1"/>
  <c r="G21" i="1"/>
  <c r="G22" i="1"/>
  <c r="P21" i="1"/>
  <c r="P22" i="1"/>
  <c r="H21" i="1"/>
  <c r="H22" i="1"/>
  <c r="D10" i="1"/>
  <c r="D11" i="1"/>
  <c r="N10" i="1"/>
  <c r="N11" i="1"/>
  <c r="O10" i="1"/>
  <c r="O11" i="1"/>
  <c r="G10" i="1"/>
  <c r="G11" i="1"/>
  <c r="I10" i="1"/>
  <c r="I11" i="1"/>
  <c r="S10" i="1"/>
  <c r="S11" i="1"/>
  <c r="J10" i="1"/>
  <c r="J11" i="1"/>
  <c r="H10" i="1"/>
  <c r="H11" i="1"/>
  <c r="K10" i="1"/>
  <c r="K11" i="1"/>
  <c r="B10" i="1"/>
  <c r="B11" i="1"/>
  <c r="F10" i="1"/>
  <c r="F11" i="1"/>
  <c r="L10" i="1"/>
  <c r="L11" i="1"/>
  <c r="R10" i="1"/>
  <c r="R11" i="1"/>
  <c r="M10" i="1"/>
  <c r="M11" i="1"/>
  <c r="C10" i="1"/>
  <c r="C11" i="1"/>
  <c r="B33" i="1"/>
  <c r="T33" i="1"/>
  <c r="T22" i="1"/>
  <c r="T11" i="1"/>
  <c r="B55" i="1"/>
  <c r="T55" i="1"/>
  <c r="T54" i="1"/>
  <c r="B44" i="1"/>
  <c r="T44" i="1"/>
  <c r="T43" i="1"/>
  <c r="U22" i="1"/>
  <c r="U33" i="1"/>
  <c r="T21" i="1"/>
  <c r="T32" i="1"/>
  <c r="U11" i="1"/>
  <c r="T10" i="1"/>
  <c r="U55" i="1"/>
  <c r="V11" i="1"/>
  <c r="V22" i="1"/>
  <c r="V33" i="1" l="1"/>
  <c r="X33" i="1" s="1"/>
  <c r="X11" i="1"/>
  <c r="V44" i="1"/>
  <c r="V55" i="1"/>
  <c r="W11" i="1" s="1"/>
  <c r="W22" i="1" l="1"/>
  <c r="W33" i="1"/>
  <c r="W44" i="1"/>
  <c r="W5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<sst xmlns="http://schemas.openxmlformats.org/spreadsheetml/2006/main" count="170" uniqueCount="60">
  <si>
    <t>Team 1</t>
  </si>
  <si>
    <t>Hole Handicap</t>
  </si>
  <si>
    <t>Index</t>
  </si>
  <si>
    <t>Hole</t>
  </si>
  <si>
    <t>Team 2</t>
  </si>
  <si>
    <t>Team 3</t>
  </si>
  <si>
    <t>Team 4</t>
  </si>
  <si>
    <t>Team 5</t>
  </si>
  <si>
    <t>Todd Hubbard</t>
  </si>
  <si>
    <t>Marcus Fast</t>
  </si>
  <si>
    <t>John Allen</t>
  </si>
  <si>
    <t>Rank</t>
  </si>
  <si>
    <t>Totals</t>
  </si>
  <si>
    <t>HI</t>
  </si>
  <si>
    <t>Team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</si>
  <si>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</si>
  <si>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</si>
  <si>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</si>
  <si>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</si>
  <si>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</si>
  <si>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</si>
  <si>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</si>
  <si>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</si>
  <si>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</si>
  <si>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</si>
  <si>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</si>
  <si>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</si>
  <si>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Allowance</t>
  </si>
  <si>
    <t>Women's Tee</t>
  </si>
  <si>
    <t>HCP</t>
  </si>
  <si>
    <t>Payout</t>
  </si>
  <si>
    <t>Payouts</t>
  </si>
  <si>
    <t>Kitty</t>
  </si>
  <si>
    <t>Place</t>
  </si>
  <si>
    <t>Amount</t>
  </si>
  <si>
    <t>2021 HAF MAST Scoresheet</t>
  </si>
  <si>
    <t>Tom Allen</t>
  </si>
  <si>
    <t>Sam Martella</t>
  </si>
  <si>
    <t>Vicki Hubbard</t>
  </si>
  <si>
    <t>Scott O'Hare</t>
  </si>
  <si>
    <t>Chris Lundhagen</t>
  </si>
  <si>
    <t>Bruce Dakin</t>
  </si>
  <si>
    <t>Mitch Leitner</t>
  </si>
  <si>
    <t>F</t>
  </si>
  <si>
    <t>MAST Entry</t>
  </si>
  <si>
    <t>Heritage Eagle Bend Golf Club</t>
  </si>
  <si>
    <t>Gold</t>
  </si>
  <si>
    <t>Green</t>
  </si>
  <si>
    <t>MAS Totals</t>
  </si>
  <si>
    <t>Team Allowance</t>
  </si>
  <si>
    <t>Team Gross</t>
  </si>
  <si>
    <t>Team Handicap Strokes</t>
  </si>
  <si>
    <t>Team Net</t>
  </si>
  <si>
    <t>Holes</t>
  </si>
  <si>
    <t>Handicap</t>
  </si>
  <si>
    <t>Par</t>
  </si>
  <si>
    <t>Men's</t>
  </si>
  <si>
    <t>Women's</t>
  </si>
  <si>
    <t>Total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</si>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</sst>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0;\-0;;@"/>
  </numFmts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9" fontId="0" fillId="0" borderId="0" xfId="0" applyNumberFormat="1"/>
    <xf numFmtId="9" fontId="0" fillId="0" borderId="0" xfId="0" applyNumberFormat="1" applyAlignment="1">
      <alignment wrapText="1"/>
    </xf>
    <xf numFmtId="0" fontId="0" fillId="0" borderId="0" xfId="0" applyAlignment="1"/>
    <xf numFmtId="0" fontId="1" fillId="0" borderId="0" xfId="0" applyFont="1"/>
    <xf numFmtId="9" fontId="1" fillId="0" borderId="0" xfId="0" applyNumberFormat="1" applyFont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left"/>
    </xf>
    <xf numFmtId="6" fontId="0" fillId="2" borderId="0" xfId="0" applyNumberFormat="1" applyFill="1"/>
    <xf numFmtId="0" fontId="1" fillId="0" borderId="0" xfId="0" quotePrefix="1" applyFont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941B-5DDC-4A97-B9AF-4A6C197B2961}">
  <sheetPr>
    <pageSetUpPr fitToPage="1"/>
  </sheetPr>
  <dimension ref="A1:X81"/>
  <sheetViews>
    <sheetView tabSelected="1" zoomScaleNormal="100" workbookViewId="0">
      <selection activeCell="P6" sqref="P6"/>
    </sheetView>
  </sheetViews>
  <sheetFormatPr defaultRowHeight="15" x14ac:dyDescent="0.25"/>
  <cols>
    <col min="1" max="1" width="29.42578125" customWidth="1"/>
    <col min="2" max="2" width="5.7109375" customWidth="1"/>
    <col min="3" max="3" width="7.140625" bestFit="1" customWidth="1"/>
    <col min="4" max="19" width="5.7109375" customWidth="1"/>
    <col min="20" max="20" width="7.140625" customWidth="1"/>
    <col min="21" max="21" width="14.42578125" bestFit="1" customWidth="1"/>
    <col min="22" max="22" width="9" style="17" bestFit="1" customWidth="1"/>
    <col min="23" max="23" width="6" bestFit="1" customWidth="1"/>
  </cols>
  <sheetData>
    <row r="1" spans="1:24" ht="15.75" x14ac:dyDescent="0.25">
      <c r="A1" s="7" t="s">
        <v>35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15"/>
      <c r="W1" s="7"/>
    </row>
    <row r="2" spans="1:24" ht="15.75" customHeight="1" x14ac:dyDescent="0.25">
      <c r="A2" s="7"/>
      <c r="B2" s="7"/>
      <c r="C2" s="13" t="s">
        <v>16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 t="s">
        <v>48</v>
      </c>
      <c r="V2" s="15" t="s">
        <v>11</v>
      </c>
      <c r="W2" s="7" t="s">
        <v>33</v>
      </c>
      <c r="X2" s="7" t="s">
        <v>30</v>
      </c>
    </row>
    <row r="3" spans="1:24" ht="15.75" customHeight="1" x14ac:dyDescent="0.25">
      <c r="A3" s="7" t="s">
        <v>0</v>
      </c>
      <c r="B3" s="7" t="s">
        <v>2</v>
      </c>
      <c r="C3" s="8" t="s">
        <v>29</v>
      </c>
      <c r="D3" s="9" t="s">
        <v>27</v>
      </c>
      <c r="E3" s="7"/>
      <c r="F3" s="7" t="s">
        <v>49</v>
      </c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15"/>
      <c r="W3" s="7"/>
    </row>
    <row r="4" spans="1:24" ht="15.75" x14ac:dyDescent="0.25">
      <c r="A4" s="7" t="str" cm="1">
        <f t="array" ref="A4">INDEX(PlayerNames,SUMPRODUCT((PlayerTeamNo=VALUE(RIGHT(A3,1)))*(PlayerPlayerNo=1)*ROW(PlayerNames))-1)</f>
        <v>John Allen</v>
      </c>
      <c r="B4" s="7" cm="1">
        <f t="array" ref="B4">MIN(INDEX(PlayerHandicaps,SUMPRODUCT((PlayerTeamNo=VALUE(RIGHT(A3,1)))*(PlayerPlayerNo=1)*ROW(PlayerHandicaps))-1),36)</f>
        <v>28.7</v>
      </c>
      <c r="C4" s="7" cm="1">
        <f t="array" ref="C4">IF(INDEX(PlayerGender,SUMPRODUCT((PlayerTeamNo=VALUE(RIGHT(A3,1)))*(PlayerPlayerNo=1)*ROW(PlayerGender))-1)="M",ROUND((B4*('Course &amp; Tourney'!$B$3/113))+('Course &amp; Tourney'!$B$4-'Course &amp; Tourney'!$B$5),0),ROUND((B4*('Course &amp; Tourney'!$B$7/113))+('Course &amp; Tourney'!$B$8-'Course &amp; Tourney'!$B$9),0))</f>
        <v>29</v>
      </c>
      <c r="D4" s="7">
        <f>ROUND(C4*'Course &amp; Tourney'!$B$10,0)</f>
        <v>26</v>
      </c>
      <c r="E4" s="7"/>
      <c r="F4" s="7">
        <f>ROUND(AVERAGE(D4:D5),0)</f>
        <v>27</v>
      </c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15"/>
      <c r="W4" s="7"/>
    </row>
    <row r="5" spans="1:24" ht="15.75" x14ac:dyDescent="0.25">
      <c r="A5" s="7" t="str" cm="1">
        <f t="array" ref="A5">INDEX(PlayerNames,SUMPRODUCT((PlayerTeamNo=VALUE(RIGHT(A3,1)))*(PlayerPlayerNo=2)*ROW(PlayerNames))-1)</f>
        <v>Tom Allen</v>
      </c>
      <c r="B5" s="7" cm="1">
        <f t="array" ref="B5">MIN(INDEX(PlayerHandicaps,SUMPRODUCT((PlayerTeamNo=VALUE(RIGHT(A3,1)))*(PlayerPlayerNo=2)*ROW(PlayerHandicaps))-1),36)</f>
        <v>29</v>
      </c>
      <c r="C5" s="7" cm="1">
        <f t="array" ref="C5">IF(INDEX(PlayerGender,SUMPRODUCT((PlayerTeamNo=VALUE(RIGHT(A3,1)))*(PlayerPlayerNo=2)*ROW(PlayerGender))-1)="M",ROUND((B5*('Course &amp; Tourney'!$B$3/113))+('Course &amp; Tourney'!$B$4-'Course &amp; Tourney'!$B$5),0),ROUND((B5*('Course &amp; Tourney'!$B$7/113))+('Course &amp; Tourney'!$B$8-'Course &amp; Tourney'!$B$9),0))</f>
        <v>30</v>
      </c>
      <c r="D5" s="7">
        <f>ROUND(C5*'Course &amp; Tourney'!$B$10,0)</f>
        <v>27</v>
      </c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15"/>
      <c r="W5" s="7"/>
    </row>
    <row r="6" spans="1:24" ht="15.75" x14ac:dyDescent="0.25">
      <c r="A6" s="7" t="s">
        <v>3</v>
      </c>
      <c r="B6" s="10">
        <v>1</v>
      </c>
      <c r="C6" s="10">
        <v>2</v>
      </c>
      <c r="D6" s="10">
        <v>3</v>
      </c>
      <c r="E6" s="10">
        <v>4</v>
      </c>
      <c r="F6" s="10">
        <v>5</v>
      </c>
      <c r="G6" s="10">
        <v>6</v>
      </c>
      <c r="H6" s="10">
        <v>7</v>
      </c>
      <c r="I6" s="10">
        <v>8</v>
      </c>
      <c r="J6" s="10">
        <v>9</v>
      </c>
      <c r="K6" s="10">
        <v>10</v>
      </c>
      <c r="L6" s="10">
        <v>11</v>
      </c>
      <c r="M6" s="10">
        <v>12</v>
      </c>
      <c r="N6" s="10">
        <v>13</v>
      </c>
      <c r="O6" s="10">
        <v>14</v>
      </c>
      <c r="P6" s="10">
        <v>15</v>
      </c>
      <c r="Q6" s="10">
        <v>16</v>
      </c>
      <c r="R6" s="10">
        <v>17</v>
      </c>
      <c r="S6" s="10">
        <v>18</v>
      </c>
      <c r="T6" s="7"/>
      <c r="U6" s="7"/>
      <c r="V6" s="15"/>
      <c r="W6" s="7"/>
    </row>
    <row r="7" spans="1:24" ht="15.75" x14ac:dyDescent="0.25">
      <c r="A7" s="7" t="s">
        <v>1</v>
      </c>
      <c r="B7" s="11">
        <v>14</v>
      </c>
      <c r="C7" s="11">
        <v>18</v>
      </c>
      <c r="D7" s="11">
        <v>10</v>
      </c>
      <c r="E7" s="11">
        <v>4</v>
      </c>
      <c r="F7" s="11">
        <v>8</v>
      </c>
      <c r="G7" s="11">
        <v>16</v>
      </c>
      <c r="H7" s="11">
        <v>12</v>
      </c>
      <c r="I7" s="11">
        <v>6</v>
      </c>
      <c r="J7" s="11">
        <v>2</v>
      </c>
      <c r="K7" s="11">
        <v>15</v>
      </c>
      <c r="L7" s="11">
        <v>13</v>
      </c>
      <c r="M7" s="11">
        <v>3</v>
      </c>
      <c r="N7" s="11">
        <v>7</v>
      </c>
      <c r="O7" s="11">
        <v>17</v>
      </c>
      <c r="P7" s="11">
        <v>9</v>
      </c>
      <c r="Q7" s="11">
        <v>5</v>
      </c>
      <c r="R7" s="11">
        <v>11</v>
      </c>
      <c r="S7" s="11">
        <v>1</v>
      </c>
      <c r="T7" s="7" t="s">
        <v>12</v>
      </c>
      <c r="U7" s="7"/>
      <c r="V7" s="15"/>
      <c r="W7" s="7"/>
    </row>
    <row r="8" spans="1:24" ht="15.75" x14ac:dyDescent="0.25">
      <c r="A8" s="7" t="str">
        <f>CONCATENATE(A4, " Tee Shot Used")</f>
        <v>John Allen Tee Shot Used</v>
      </c>
      <c r="B8" s="11"/>
      <c r="C8" s="11"/>
      <c r="D8" s="11" t="s">
        <v>59</v>
      </c>
      <c r="E8" s="11"/>
      <c r="F8" s="11"/>
      <c r="G8" s="11"/>
      <c r="H8" s="11" t="s">
        <v>59</v>
      </c>
      <c r="I8" s="11" t="s">
        <v>59</v>
      </c>
      <c r="J8" s="11" t="s">
        <v>59</v>
      </c>
      <c r="K8" s="11"/>
      <c r="L8" s="11"/>
      <c r="M8" s="11" t="s">
        <v>59</v>
      </c>
      <c r="N8" s="11" t="s">
        <v>59</v>
      </c>
      <c r="O8" s="11" t="s">
        <v>59</v>
      </c>
      <c r="P8" s="11" t="s">
        <v>59</v>
      </c>
      <c r="Q8" s="11" t="s">
        <v>59</v>
      </c>
      <c r="R8" s="11" t="s">
        <v>59</v>
      </c>
      <c r="S8" s="11" t="s">
        <v>59</v>
      </c>
      <c r="T8" s="21">
        <f>COUNTIF(B8:S8,"&lt;&gt;")</f>
        <v>11</v>
      </c>
      <c r="U8" s="7"/>
      <c r="V8" s="15"/>
      <c r="W8" s="7"/>
    </row>
    <row r="9" spans="1:24" ht="15.75" x14ac:dyDescent="0.25">
      <c r="A9" s="20" t="s">
        <v>50</v>
      </c>
      <c r="B9" s="12">
        <v>6</v>
      </c>
      <c r="C9" s="12">
        <v>9</v>
      </c>
      <c r="D9" s="12">
        <v>4</v>
      </c>
      <c r="E9" s="12">
        <v>8</v>
      </c>
      <c r="F9" s="12">
        <v>4</v>
      </c>
      <c r="G9" s="12">
        <v>7</v>
      </c>
      <c r="H9" s="12">
        <v>4</v>
      </c>
      <c r="I9" s="12">
        <v>5</v>
      </c>
      <c r="J9" s="12">
        <v>9</v>
      </c>
      <c r="K9" s="12">
        <v>4</v>
      </c>
      <c r="L9" s="12">
        <v>9</v>
      </c>
      <c r="M9" s="12">
        <v>7</v>
      </c>
      <c r="N9" s="12">
        <v>7</v>
      </c>
      <c r="O9" s="12">
        <v>9</v>
      </c>
      <c r="P9" s="12">
        <v>3</v>
      </c>
      <c r="Q9" s="12">
        <v>5</v>
      </c>
      <c r="R9" s="12">
        <v>6</v>
      </c>
      <c r="S9" s="12">
        <v>6</v>
      </c>
      <c r="T9" s="12">
        <f>IF(SUM(B9:S9)&gt;0,SUM(B9:S9),"")</f>
        <v>112</v>
      </c>
      <c r="U9" s="12"/>
      <c r="V9" s="15"/>
      <c r="W9" s="7"/>
    </row>
    <row r="10" spans="1:24" ht="15.75" x14ac:dyDescent="0.25">
      <c r="A10" s="20" t="s">
        <v>51</v>
      </c>
      <c r="B10" s="12">
        <f>ROUNDDOWN($F4/18,0)+IF(MOD($F4,18)&gt;=B7,1,0)</f>
        <v>1</v>
      </c>
      <c r="C10" s="12">
        <f t="shared" ref="C10:S10" si="0">ROUNDDOWN($F4/18,0)+IF(MOD($F4,18)&gt;=C7,1,0)</f>
        <v>1</v>
      </c>
      <c r="D10" s="12">
        <f t="shared" si="0"/>
        <v>1</v>
      </c>
      <c r="E10" s="12">
        <f t="shared" si="0"/>
        <v>2</v>
      </c>
      <c r="F10" s="12">
        <f t="shared" si="0"/>
        <v>2</v>
      </c>
      <c r="G10" s="12">
        <f t="shared" si="0"/>
        <v>1</v>
      </c>
      <c r="H10" s="12">
        <f t="shared" si="0"/>
        <v>1</v>
      </c>
      <c r="I10" s="12">
        <f t="shared" si="0"/>
        <v>2</v>
      </c>
      <c r="J10" s="12">
        <f t="shared" si="0"/>
        <v>2</v>
      </c>
      <c r="K10" s="12">
        <f t="shared" si="0"/>
        <v>1</v>
      </c>
      <c r="L10" s="12">
        <f t="shared" si="0"/>
        <v>1</v>
      </c>
      <c r="M10" s="12">
        <f t="shared" si="0"/>
        <v>2</v>
      </c>
      <c r="N10" s="12">
        <f t="shared" si="0"/>
        <v>2</v>
      </c>
      <c r="O10" s="12">
        <f t="shared" si="0"/>
        <v>1</v>
      </c>
      <c r="P10" s="12">
        <f t="shared" si="0"/>
        <v>2</v>
      </c>
      <c r="Q10" s="12">
        <f t="shared" si="0"/>
        <v>2</v>
      </c>
      <c r="R10" s="12">
        <f t="shared" si="0"/>
        <v>1</v>
      </c>
      <c r="S10" s="12">
        <f t="shared" si="0"/>
        <v>2</v>
      </c>
      <c r="T10" s="12">
        <f>SUM(B10:S10)</f>
        <v>27</v>
      </c>
      <c r="U10" s="12"/>
      <c r="V10" s="15"/>
      <c r="W10" s="7"/>
    </row>
    <row r="11" spans="1:24" ht="15.75" x14ac:dyDescent="0.25">
      <c r="A11" s="7" t="s">
        <v>52</v>
      </c>
      <c r="B11" s="12">
        <f t="shared" ref="B11" si="1">IF(B9-B10&gt;0,B9-B10,"")</f>
        <v>5</v>
      </c>
      <c r="C11" s="12">
        <f t="shared" ref="C11" si="2">IF(C9-C10&gt;0,C9-C10,"")</f>
        <v>8</v>
      </c>
      <c r="D11" s="12">
        <f t="shared" ref="D11" si="3">IF(D9-D10&gt;0,D9-D10,"")</f>
        <v>3</v>
      </c>
      <c r="E11" s="12">
        <f t="shared" ref="E11" si="4">IF(E9-E10&gt;0,E9-E10,"")</f>
        <v>6</v>
      </c>
      <c r="F11" s="12">
        <f t="shared" ref="F11" si="5">IF(F9-F10&gt;0,F9-F10,"")</f>
        <v>2</v>
      </c>
      <c r="G11" s="12">
        <f t="shared" ref="G11" si="6">IF(G9-G10&gt;0,G9-G10,"")</f>
        <v>6</v>
      </c>
      <c r="H11" s="12">
        <f t="shared" ref="H11" si="7">IF(H9-H10&gt;0,H9-H10,"")</f>
        <v>3</v>
      </c>
      <c r="I11" s="12">
        <f t="shared" ref="I11" si="8">IF(I9-I10&gt;0,I9-I10,"")</f>
        <v>3</v>
      </c>
      <c r="J11" s="12">
        <f t="shared" ref="J11" si="9">IF(J9-J10&gt;0,J9-J10,"")</f>
        <v>7</v>
      </c>
      <c r="K11" s="12">
        <f t="shared" ref="K11" si="10">IF(K9-K10&gt;0,K9-K10,"")</f>
        <v>3</v>
      </c>
      <c r="L11" s="12">
        <f t="shared" ref="L11" si="11">IF(L9-L10&gt;0,L9-L10,"")</f>
        <v>8</v>
      </c>
      <c r="M11" s="12">
        <f t="shared" ref="M11" si="12">IF(M9-M10&gt;0,M9-M10,"")</f>
        <v>5</v>
      </c>
      <c r="N11" s="12">
        <f t="shared" ref="N11" si="13">IF(N9-N10&gt;0,N9-N10,"")</f>
        <v>5</v>
      </c>
      <c r="O11" s="12">
        <f t="shared" ref="O11" si="14">IF(O9-O10&gt;0,O9-O10,"")</f>
        <v>8</v>
      </c>
      <c r="P11" s="12">
        <f t="shared" ref="P11" si="15">IF(P9-P10&gt;0,P9-P10,"")</f>
        <v>1</v>
      </c>
      <c r="Q11" s="12">
        <f t="shared" ref="Q11" si="16">IF(Q9-Q10&gt;0,Q9-Q10,"")</f>
        <v>3</v>
      </c>
      <c r="R11" s="12">
        <f t="shared" ref="R11" si="17">IF(R9-R10&gt;0,R9-R10,"")</f>
        <v>5</v>
      </c>
      <c r="S11" s="12">
        <f t="shared" ref="S11" si="18">IF(S9-S10&gt;0,S9-S10,"")</f>
        <v>4</v>
      </c>
      <c r="T11" s="12">
        <f>IF(SUM(B11:S11)&gt;0,SUM(B11:S11),"")</f>
        <v>85</v>
      </c>
      <c r="U11" s="12">
        <f>IF(SUM(B11:S11)&gt;0,SUM(B11:S11),"")</f>
        <v>85</v>
      </c>
      <c r="V11" s="16">
        <f>IF(U11 = "","",_xlfn.RANK.EQ(U11,U:U,1))</f>
        <v>5</v>
      </c>
      <c r="W11" s="7" t="str">
        <f>IF(U11="","",IF(COUNTIF(V:V,V11)&gt;1,CONCATENATE("T",V11),TEXT(V11,"0")))</f>
        <v>5</v>
      </c>
      <c r="X11" s="14" t="str">
        <f ca="1">IF(U11="","",IF(ISNA(VLOOKUP(V11,PlacePayouts,1,FALSE)),"",AVERAGE(OFFSET(PlacePayouts,VLOOKUP(V11,PlacePayouts,1,FALSE)-1,1,COUNTIF(V:V,V11)))*Kitty))</f>
        <v/>
      </c>
    </row>
    <row r="12" spans="1:24" ht="15.75" x14ac:dyDescent="0.25">
      <c r="A12" s="7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6"/>
      <c r="W12" s="7"/>
      <c r="X12" s="14"/>
    </row>
    <row r="13" spans="1:24" ht="15.75" customHeight="1" x14ac:dyDescent="0.25">
      <c r="A13" s="7"/>
      <c r="B13" s="12"/>
      <c r="C13" s="13" t="s">
        <v>16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7"/>
      <c r="U13" s="7"/>
      <c r="V13" s="15"/>
      <c r="W13" s="7"/>
    </row>
    <row r="14" spans="1:24" ht="15.75" customHeight="1" x14ac:dyDescent="0.25">
      <c r="A14" s="7" t="s">
        <v>4</v>
      </c>
      <c r="B14" s="7" t="s">
        <v>2</v>
      </c>
      <c r="C14" s="8" t="s">
        <v>29</v>
      </c>
      <c r="D14" s="9" t="s">
        <v>27</v>
      </c>
      <c r="E14" s="7"/>
      <c r="F14" s="7" t="s">
        <v>49</v>
      </c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15"/>
      <c r="W14" s="7"/>
    </row>
    <row r="15" spans="1:24" ht="15.75" x14ac:dyDescent="0.25">
      <c r="A15" s="7" t="str" cm="1">
        <f t="array" ref="A15">INDEX(PlayerNames,SUMPRODUCT((PlayerTeamNo=VALUE(RIGHT(A14,1)))*(PlayerPlayerNo=1)*ROW(PlayerNames))-1)</f>
        <v>Marcus Fast</v>
      </c>
      <c r="B15" s="7" cm="1">
        <f t="array" ref="B15">MIN(INDEX(PlayerHandicaps,SUMPRODUCT((PlayerTeamNo=VALUE(RIGHT(A14,1)))*(PlayerPlayerNo=1)*ROW(PlayerHandicaps))-1),36)</f>
        <v>36</v>
      </c>
      <c r="C15" s="7" cm="1">
        <f t="array" ref="C15">IF(INDEX(PlayerGender,SUMPRODUCT((PlayerTeamNo=VALUE(RIGHT(A14,1)))*(PlayerPlayerNo=1)*ROW(PlayerGender))-1)="M",ROUND((B15*('Course &amp; Tourney'!$B$3/113))+('Course &amp; Tourney'!$B$4-'Course &amp; Tourney'!$B$5),0),ROUND((B15*('Course &amp; Tourney'!$B$7/113))+('Course &amp; Tourney'!$B$8-'Course &amp; Tourney'!$B$9),0))</f>
        <v>37</v>
      </c>
      <c r="D15" s="7">
        <f>ROUND(C15*'Course &amp; Tourney'!$B$10,0)</f>
        <v>33</v>
      </c>
      <c r="E15" s="7"/>
      <c r="F15" s="7">
        <f>ROUND(AVERAGE(D15:D16),0)</f>
        <v>33</v>
      </c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15"/>
      <c r="W15" s="7"/>
    </row>
    <row r="16" spans="1:24" ht="15.75" x14ac:dyDescent="0.25">
      <c r="A16" s="7" t="str" cm="1">
        <f t="array" ref="A16">INDEX(PlayerNames,SUMPRODUCT((PlayerTeamNo=VALUE(RIGHT(A14,1)))*(PlayerPlayerNo=2)*ROW(PlayerNames))-1)</f>
        <v>Sam Martella</v>
      </c>
      <c r="B16" s="7" cm="1">
        <f t="array" ref="B16">MIN(INDEX(PlayerHandicaps,SUMPRODUCT((PlayerTeamNo=VALUE(RIGHT(A14,1)))*(PlayerPlayerNo=2)*ROW(PlayerHandicaps))-1),36)</f>
        <v>34.799999999999997</v>
      </c>
      <c r="C16" s="7" cm="1">
        <f t="array" ref="C16">IF(INDEX(PlayerGender,SUMPRODUCT((PlayerTeamNo=VALUE(RIGHT(A14,1)))*(PlayerPlayerNo=2)*ROW(PlayerGender))-1)="M",ROUND((B16*('Course &amp; Tourney'!$B$3/113))+('Course &amp; Tourney'!$B$4-'Course &amp; Tourney'!$B$5),0),ROUND((B16*('Course &amp; Tourney'!$B$7/113))+('Course &amp; Tourney'!$B$8-'Course &amp; Tourney'!$B$9),0))</f>
        <v>36</v>
      </c>
      <c r="D16" s="7">
        <f>ROUND(C16*'Course &amp; Tourney'!$B$10,0)</f>
        <v>32</v>
      </c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5"/>
      <c r="W16" s="7"/>
    </row>
    <row r="17" spans="1:24" ht="15.75" x14ac:dyDescent="0.25">
      <c r="A17" s="7" t="s">
        <v>3</v>
      </c>
      <c r="B17" s="10">
        <v>1</v>
      </c>
      <c r="C17" s="10">
        <v>2</v>
      </c>
      <c r="D17" s="10">
        <v>3</v>
      </c>
      <c r="E17" s="10">
        <v>4</v>
      </c>
      <c r="F17" s="10">
        <v>5</v>
      </c>
      <c r="G17" s="10">
        <v>6</v>
      </c>
      <c r="H17" s="10">
        <v>7</v>
      </c>
      <c r="I17" s="10">
        <v>8</v>
      </c>
      <c r="J17" s="10">
        <v>9</v>
      </c>
      <c r="K17" s="10">
        <v>10</v>
      </c>
      <c r="L17" s="10">
        <v>11</v>
      </c>
      <c r="M17" s="10">
        <v>12</v>
      </c>
      <c r="N17" s="10">
        <v>13</v>
      </c>
      <c r="O17" s="10">
        <v>14</v>
      </c>
      <c r="P17" s="10">
        <v>15</v>
      </c>
      <c r="Q17" s="10">
        <v>16</v>
      </c>
      <c r="R17" s="10">
        <v>17</v>
      </c>
      <c r="S17" s="10">
        <v>18</v>
      </c>
      <c r="T17" s="7"/>
      <c r="U17" s="7"/>
      <c r="V17" s="15"/>
      <c r="W17" s="7"/>
    </row>
    <row r="18" spans="1:24" ht="15.75" x14ac:dyDescent="0.25">
      <c r="A18" s="7" t="s">
        <v>1</v>
      </c>
      <c r="B18" s="11">
        <v>14</v>
      </c>
      <c r="C18" s="11">
        <v>18</v>
      </c>
      <c r="D18" s="11">
        <v>10</v>
      </c>
      <c r="E18" s="11">
        <v>4</v>
      </c>
      <c r="F18" s="11">
        <v>8</v>
      </c>
      <c r="G18" s="11">
        <v>16</v>
      </c>
      <c r="H18" s="11">
        <v>12</v>
      </c>
      <c r="I18" s="11">
        <v>6</v>
      </c>
      <c r="J18" s="11">
        <v>2</v>
      </c>
      <c r="K18" s="11">
        <v>15</v>
      </c>
      <c r="L18" s="11">
        <v>13</v>
      </c>
      <c r="M18" s="11">
        <v>3</v>
      </c>
      <c r="N18" s="11">
        <v>7</v>
      </c>
      <c r="O18" s="11">
        <v>17</v>
      </c>
      <c r="P18" s="11">
        <v>9</v>
      </c>
      <c r="Q18" s="11">
        <v>5</v>
      </c>
      <c r="R18" s="11">
        <v>11</v>
      </c>
      <c r="S18" s="11">
        <v>1</v>
      </c>
      <c r="T18" s="7" t="s">
        <v>12</v>
      </c>
      <c r="U18" s="7"/>
      <c r="V18" s="15"/>
      <c r="W18" s="7"/>
    </row>
    <row r="19" spans="1:24" ht="15.75" x14ac:dyDescent="0.25">
      <c r="A19" s="7" t="str">
        <f>CONCATENATE(A15, " Tee Shot Used")</f>
        <v>Marcus Fast Tee Shot Used</v>
      </c>
      <c r="B19" s="11"/>
      <c r="C19" s="11"/>
      <c r="D19" s="11" t="s">
        <v>59</v>
      </c>
      <c r="E19" s="11"/>
      <c r="F19" s="11" t="s">
        <v>59</v>
      </c>
      <c r="G19" s="11" t="s">
        <v>59</v>
      </c>
      <c r="H19" s="11"/>
      <c r="I19" s="11"/>
      <c r="J19" s="11"/>
      <c r="K19" s="11"/>
      <c r="L19" s="11"/>
      <c r="M19" s="11" t="s">
        <v>59</v>
      </c>
      <c r="N19" s="11"/>
      <c r="O19" s="11"/>
      <c r="P19" s="11" t="s">
        <v>59</v>
      </c>
      <c r="Q19" s="11"/>
      <c r="R19" s="11" t="s">
        <v>59</v>
      </c>
      <c r="S19" s="11" t="s">
        <v>59</v>
      </c>
      <c r="T19" s="21">
        <f>COUNTIF(B19:S19,"&lt;&gt;")</f>
        <v>7</v>
      </c>
      <c r="U19" s="7"/>
      <c r="V19" s="15"/>
      <c r="W19" s="7"/>
    </row>
    <row r="20" spans="1:24" ht="15.75" x14ac:dyDescent="0.25">
      <c r="A20" s="20" t="s">
        <v>50</v>
      </c>
      <c r="B20" s="12">
        <v>8</v>
      </c>
      <c r="C20" s="12">
        <v>7</v>
      </c>
      <c r="D20" s="12">
        <v>10</v>
      </c>
      <c r="E20" s="12">
        <v>5</v>
      </c>
      <c r="F20" s="12">
        <v>5</v>
      </c>
      <c r="G20" s="12">
        <v>4</v>
      </c>
      <c r="H20" s="12">
        <v>6</v>
      </c>
      <c r="I20" s="12">
        <v>6</v>
      </c>
      <c r="J20" s="12">
        <v>7</v>
      </c>
      <c r="K20" s="12">
        <v>6</v>
      </c>
      <c r="L20" s="12">
        <v>6</v>
      </c>
      <c r="M20" s="12">
        <v>10</v>
      </c>
      <c r="N20" s="12">
        <v>7</v>
      </c>
      <c r="O20" s="12">
        <v>4</v>
      </c>
      <c r="P20" s="12">
        <v>4</v>
      </c>
      <c r="Q20" s="12">
        <v>5</v>
      </c>
      <c r="R20" s="12">
        <v>7</v>
      </c>
      <c r="S20" s="12">
        <v>7</v>
      </c>
      <c r="T20" s="12">
        <f t="shared" ref="T20" si="19">IF(SUM(B20:S20)&gt;0,SUM(B20:S20),"")</f>
        <v>114</v>
      </c>
      <c r="U20" s="12"/>
      <c r="V20" s="15"/>
      <c r="W20" s="7"/>
    </row>
    <row r="21" spans="1:24" ht="15.75" x14ac:dyDescent="0.25">
      <c r="A21" s="20" t="s">
        <v>51</v>
      </c>
      <c r="B21" s="12">
        <f t="shared" ref="B21:S21" si="20">ROUNDDOWN($F15/18,0)+IF(MOD($F15,18)&gt;=B18,1,0)</f>
        <v>2</v>
      </c>
      <c r="C21" s="12">
        <f t="shared" si="20"/>
        <v>1</v>
      </c>
      <c r="D21" s="12">
        <f t="shared" si="20"/>
        <v>2</v>
      </c>
      <c r="E21" s="12">
        <f t="shared" si="20"/>
        <v>2</v>
      </c>
      <c r="F21" s="12">
        <f t="shared" si="20"/>
        <v>2</v>
      </c>
      <c r="G21" s="12">
        <f t="shared" si="20"/>
        <v>1</v>
      </c>
      <c r="H21" s="12">
        <f t="shared" si="20"/>
        <v>2</v>
      </c>
      <c r="I21" s="12">
        <f t="shared" si="20"/>
        <v>2</v>
      </c>
      <c r="J21" s="12">
        <f t="shared" si="20"/>
        <v>2</v>
      </c>
      <c r="K21" s="12">
        <f t="shared" si="20"/>
        <v>2</v>
      </c>
      <c r="L21" s="12">
        <f t="shared" si="20"/>
        <v>2</v>
      </c>
      <c r="M21" s="12">
        <f t="shared" si="20"/>
        <v>2</v>
      </c>
      <c r="N21" s="12">
        <f t="shared" si="20"/>
        <v>2</v>
      </c>
      <c r="O21" s="12">
        <f t="shared" si="20"/>
        <v>1</v>
      </c>
      <c r="P21" s="12">
        <f t="shared" si="20"/>
        <v>2</v>
      </c>
      <c r="Q21" s="12">
        <f t="shared" si="20"/>
        <v>2</v>
      </c>
      <c r="R21" s="12">
        <f t="shared" si="20"/>
        <v>2</v>
      </c>
      <c r="S21" s="12">
        <f t="shared" si="20"/>
        <v>2</v>
      </c>
      <c r="T21" s="12">
        <f>SUM(B21:S21)</f>
        <v>33</v>
      </c>
      <c r="U21" s="12"/>
      <c r="V21" s="15"/>
      <c r="W21" s="7"/>
    </row>
    <row r="22" spans="1:24" ht="15.75" x14ac:dyDescent="0.25">
      <c r="A22" s="7" t="s">
        <v>52</v>
      </c>
      <c r="B22" s="12">
        <f t="shared" ref="B22" si="21">IF(B20-B21&gt;0,B20-B21,"")</f>
        <v>6</v>
      </c>
      <c r="C22" s="12">
        <f t="shared" ref="C22" si="22">IF(C20-C21&gt;0,C20-C21,"")</f>
        <v>6</v>
      </c>
      <c r="D22" s="12">
        <f t="shared" ref="D22" si="23">IF(D20-D21&gt;0,D20-D21,"")</f>
        <v>8</v>
      </c>
      <c r="E22" s="12">
        <f t="shared" ref="E22" si="24">IF(E20-E21&gt;0,E20-E21,"")</f>
        <v>3</v>
      </c>
      <c r="F22" s="12">
        <f t="shared" ref="F22" si="25">IF(F20-F21&gt;0,F20-F21,"")</f>
        <v>3</v>
      </c>
      <c r="G22" s="12">
        <f t="shared" ref="G22" si="26">IF(G20-G21&gt;0,G20-G21,"")</f>
        <v>3</v>
      </c>
      <c r="H22" s="12">
        <f t="shared" ref="H22" si="27">IF(H20-H21&gt;0,H20-H21,"")</f>
        <v>4</v>
      </c>
      <c r="I22" s="12">
        <f t="shared" ref="I22" si="28">IF(I20-I21&gt;0,I20-I21,"")</f>
        <v>4</v>
      </c>
      <c r="J22" s="12">
        <f t="shared" ref="J22" si="29">IF(J20-J21&gt;0,J20-J21,"")</f>
        <v>5</v>
      </c>
      <c r="K22" s="12">
        <f t="shared" ref="K22" si="30">IF(K20-K21&gt;0,K20-K21,"")</f>
        <v>4</v>
      </c>
      <c r="L22" s="12">
        <f t="shared" ref="L22" si="31">IF(L20-L21&gt;0,L20-L21,"")</f>
        <v>4</v>
      </c>
      <c r="M22" s="12">
        <f t="shared" ref="M22" si="32">IF(M20-M21&gt;0,M20-M21,"")</f>
        <v>8</v>
      </c>
      <c r="N22" s="12">
        <f t="shared" ref="N22" si="33">IF(N20-N21&gt;0,N20-N21,"")</f>
        <v>5</v>
      </c>
      <c r="O22" s="12">
        <f t="shared" ref="O22" si="34">IF(O20-O21&gt;0,O20-O21,"")</f>
        <v>3</v>
      </c>
      <c r="P22" s="12">
        <f t="shared" ref="P22" si="35">IF(P20-P21&gt;0,P20-P21,"")</f>
        <v>2</v>
      </c>
      <c r="Q22" s="12">
        <f t="shared" ref="Q22" si="36">IF(Q20-Q21&gt;0,Q20-Q21,"")</f>
        <v>3</v>
      </c>
      <c r="R22" s="12">
        <f t="shared" ref="R22" si="37">IF(R20-R21&gt;0,R20-R21,"")</f>
        <v>5</v>
      </c>
      <c r="S22" s="12">
        <f t="shared" ref="S22" si="38">IF(S20-S21&gt;0,S20-S21,"")</f>
        <v>5</v>
      </c>
      <c r="T22" s="12">
        <f>IF(SUM(B22:S22)&gt;0,SUM(B22:S22),"")</f>
        <v>81</v>
      </c>
      <c r="U22" s="12">
        <f>IF(SUM(B22:S22)&gt;0,SUM(B22:S22),"")</f>
        <v>81</v>
      </c>
      <c r="V22" s="16">
        <f>IF(U22 = "","",_xlfn.RANK.EQ(U22,U:U,1))</f>
        <v>3</v>
      </c>
      <c r="W22" s="7" t="str">
        <f>IF(U22="","",IF(COUNTIF(V:V,V22)&gt;1,CONCATENATE("T",V22),TEXT(V22,"0")))</f>
        <v>T3</v>
      </c>
      <c r="X22" s="14">
        <f ca="1">IF(U22="","",IF(ISNA(VLOOKUP(V22,PlacePayouts,1,FALSE)),"",AVERAGE(OFFSET(PlacePayouts,VLOOKUP(V22,PlacePayouts,1,FALSE)-1,1,COUNTIF(V:V,V22),1))*Kitty))</f>
        <v>20</v>
      </c>
    </row>
    <row r="23" spans="1:24" ht="15.75" x14ac:dyDescent="0.25">
      <c r="A23" s="7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6"/>
      <c r="W23" s="7"/>
      <c r="X23" s="14"/>
    </row>
    <row r="24" spans="1:24" ht="15.75" customHeight="1" x14ac:dyDescent="0.25">
      <c r="A24" s="7"/>
      <c r="B24" s="12"/>
      <c r="C24" s="13" t="s">
        <v>16</v>
      </c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7"/>
      <c r="U24" s="7"/>
      <c r="V24" s="15"/>
      <c r="W24" s="7"/>
    </row>
    <row r="25" spans="1:24" ht="15.75" customHeight="1" x14ac:dyDescent="0.25">
      <c r="A25" s="7" t="s">
        <v>5</v>
      </c>
      <c r="B25" s="7" t="s">
        <v>2</v>
      </c>
      <c r="C25" s="8" t="s">
        <v>29</v>
      </c>
      <c r="D25" s="9" t="s">
        <v>27</v>
      </c>
      <c r="E25" s="7"/>
      <c r="F25" s="7" t="s">
        <v>49</v>
      </c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15"/>
      <c r="W25" s="7"/>
    </row>
    <row r="26" spans="1:24" ht="15.75" x14ac:dyDescent="0.25">
      <c r="A26" s="7" t="str" cm="1">
        <f t="array" ref="A26">INDEX(PlayerNames,SUMPRODUCT((PlayerTeamNo=VALUE(RIGHT(A25,1)))*(PlayerPlayerNo=1)*ROW(PlayerNames))-1)</f>
        <v>Vicki Hubbard</v>
      </c>
      <c r="B26" s="7" cm="1">
        <f t="array" ref="B26">MIN(INDEX(PlayerHandicaps,SUMPRODUCT((PlayerTeamNo=VALUE(RIGHT(A25,1)))*(PlayerPlayerNo=1)*ROW(PlayerHandicaps))-1),36)</f>
        <v>27</v>
      </c>
      <c r="C26" s="7" cm="1">
        <f t="array" ref="C26">IF(INDEX(PlayerGender,SUMPRODUCT((PlayerTeamNo=VALUE(RIGHT(A25,1)))*(PlayerPlayerNo=1)*ROW(PlayerGender))-1)="M",ROUND((B26*('Course &amp; Tourney'!$B$3/113))+('Course &amp; Tourney'!$B$4-'Course &amp; Tourney'!$B$5),0),ROUND((B26*('Course &amp; Tourney'!$B$7/113))+('Course &amp; Tourney'!$B$8-'Course &amp; Tourney'!$B$9),0))</f>
        <v>23</v>
      </c>
      <c r="D26" s="7">
        <f>ROUND(C26*'Course &amp; Tourney'!$B$10,0)</f>
        <v>21</v>
      </c>
      <c r="E26" s="7"/>
      <c r="F26" s="7">
        <f>ROUND(AVERAGE(D26:D27),0)</f>
        <v>27</v>
      </c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15"/>
      <c r="W26" s="7"/>
    </row>
    <row r="27" spans="1:24" ht="15.75" x14ac:dyDescent="0.25">
      <c r="A27" s="7" t="str" cm="1">
        <f t="array" ref="A27">INDEX(PlayerNames,SUMPRODUCT((PlayerTeamNo=VALUE(RIGHT(A25,1)))*(PlayerPlayerNo=2)*ROW(PlayerNames))-1)</f>
        <v>Todd Hubbard</v>
      </c>
      <c r="B27" s="7" cm="1">
        <f t="array" ref="B27">MIN(INDEX(PlayerHandicaps,SUMPRODUCT((PlayerTeamNo=VALUE(RIGHT(A25,1)))*(PlayerPlayerNo=2)*ROW(PlayerHandicaps))-1),36)</f>
        <v>36</v>
      </c>
      <c r="C27" s="7" cm="1">
        <f t="array" ref="C27">IF(INDEX(PlayerGender,SUMPRODUCT((PlayerTeamNo=VALUE(RIGHT(A25,1)))*(PlayerPlayerNo=2)*ROW(PlayerGender))-1)="M",ROUND((B27*('Course &amp; Tourney'!$B$3/113))+('Course &amp; Tourney'!$B$4-'Course &amp; Tourney'!$B$5),0),ROUND((B27*('Course &amp; Tourney'!$B$7/113))+('Course &amp; Tourney'!$B$8-'Course &amp; Tourney'!$B$9),0))</f>
        <v>37</v>
      </c>
      <c r="D27" s="7">
        <f>ROUND(C27*'Course &amp; Tourney'!$B$10,0)</f>
        <v>33</v>
      </c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15"/>
      <c r="W27" s="7"/>
    </row>
    <row r="28" spans="1:24" ht="15.75" x14ac:dyDescent="0.25">
      <c r="A28" s="7" t="s">
        <v>3</v>
      </c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0">
        <v>7</v>
      </c>
      <c r="I28" s="10">
        <v>8</v>
      </c>
      <c r="J28" s="10">
        <v>9</v>
      </c>
      <c r="K28" s="10">
        <v>10</v>
      </c>
      <c r="L28" s="10">
        <v>11</v>
      </c>
      <c r="M28" s="10">
        <v>12</v>
      </c>
      <c r="N28" s="10">
        <v>13</v>
      </c>
      <c r="O28" s="10">
        <v>14</v>
      </c>
      <c r="P28" s="10">
        <v>15</v>
      </c>
      <c r="Q28" s="10">
        <v>16</v>
      </c>
      <c r="R28" s="10">
        <v>17</v>
      </c>
      <c r="S28" s="10">
        <v>18</v>
      </c>
      <c r="T28" s="7"/>
      <c r="U28" s="7"/>
      <c r="V28" s="15"/>
      <c r="W28" s="7"/>
    </row>
    <row r="29" spans="1:24" ht="15.75" x14ac:dyDescent="0.25">
      <c r="A29" s="7" t="s">
        <v>1</v>
      </c>
      <c r="B29" s="11">
        <v>14</v>
      </c>
      <c r="C29" s="11">
        <v>18</v>
      </c>
      <c r="D29" s="11">
        <v>10</v>
      </c>
      <c r="E29" s="11">
        <v>4</v>
      </c>
      <c r="F29" s="11">
        <v>8</v>
      </c>
      <c r="G29" s="11">
        <v>16</v>
      </c>
      <c r="H29" s="11">
        <v>12</v>
      </c>
      <c r="I29" s="11">
        <v>6</v>
      </c>
      <c r="J29" s="11">
        <v>2</v>
      </c>
      <c r="K29" s="11">
        <v>15</v>
      </c>
      <c r="L29" s="11">
        <v>13</v>
      </c>
      <c r="M29" s="11">
        <v>3</v>
      </c>
      <c r="N29" s="11">
        <v>7</v>
      </c>
      <c r="O29" s="11">
        <v>17</v>
      </c>
      <c r="P29" s="11">
        <v>9</v>
      </c>
      <c r="Q29" s="11">
        <v>5</v>
      </c>
      <c r="R29" s="11">
        <v>11</v>
      </c>
      <c r="S29" s="11">
        <v>1</v>
      </c>
      <c r="T29" s="7" t="s">
        <v>12</v>
      </c>
      <c r="U29" s="7"/>
      <c r="V29" s="15"/>
      <c r="W29" s="7"/>
    </row>
    <row r="30" spans="1:24" ht="15.75" x14ac:dyDescent="0.25">
      <c r="A30" s="7" t="str">
        <f>CONCATENATE(A26, " Tee Shot Used")</f>
        <v>Vicki Hubbard Tee Shot Used</v>
      </c>
      <c r="B30" s="11" t="s">
        <v>59</v>
      </c>
      <c r="C30" s="11"/>
      <c r="D30" s="11" t="s">
        <v>59</v>
      </c>
      <c r="E30" s="11"/>
      <c r="F30" s="11"/>
      <c r="G30" s="11" t="s">
        <v>59</v>
      </c>
      <c r="H30" s="11"/>
      <c r="I30" s="11"/>
      <c r="J30" s="11"/>
      <c r="K30" s="11" t="s">
        <v>59</v>
      </c>
      <c r="L30" s="11" t="s">
        <v>59</v>
      </c>
      <c r="M30" s="11"/>
      <c r="N30" s="11" t="s">
        <v>59</v>
      </c>
      <c r="O30" s="11"/>
      <c r="P30" s="11" t="s">
        <v>59</v>
      </c>
      <c r="Q30" s="11" t="s">
        <v>59</v>
      </c>
      <c r="R30" s="11"/>
      <c r="S30" s="11"/>
      <c r="T30" s="21">
        <f>COUNTIF(B30:S30,"&lt;&gt;")</f>
        <v>8</v>
      </c>
      <c r="U30" s="7"/>
      <c r="V30" s="15"/>
      <c r="W30" s="7"/>
    </row>
    <row r="31" spans="1:24" ht="15.75" x14ac:dyDescent="0.25">
      <c r="A31" s="20" t="s">
        <v>50</v>
      </c>
      <c r="B31" s="12">
        <v>8</v>
      </c>
      <c r="C31" s="12">
        <v>6</v>
      </c>
      <c r="D31" s="12">
        <v>5</v>
      </c>
      <c r="E31" s="12">
        <v>6</v>
      </c>
      <c r="F31" s="12">
        <v>6</v>
      </c>
      <c r="G31" s="12">
        <v>8</v>
      </c>
      <c r="H31" s="12">
        <v>5</v>
      </c>
      <c r="I31" s="12">
        <v>5</v>
      </c>
      <c r="J31" s="12">
        <v>8</v>
      </c>
      <c r="K31" s="12">
        <v>5</v>
      </c>
      <c r="L31" s="12">
        <v>6</v>
      </c>
      <c r="M31" s="12">
        <v>5</v>
      </c>
      <c r="N31" s="12">
        <v>5</v>
      </c>
      <c r="O31" s="12">
        <v>7</v>
      </c>
      <c r="P31" s="12">
        <v>3</v>
      </c>
      <c r="Q31" s="12">
        <v>5</v>
      </c>
      <c r="R31" s="12">
        <v>5</v>
      </c>
      <c r="S31" s="12">
        <v>10</v>
      </c>
      <c r="T31" s="12">
        <f t="shared" ref="T31" si="39">IF(SUM(B31:S31)&gt;0,SUM(B31:S31),"")</f>
        <v>108</v>
      </c>
      <c r="U31" s="12"/>
      <c r="V31" s="15"/>
      <c r="W31" s="7"/>
    </row>
    <row r="32" spans="1:24" ht="15.75" x14ac:dyDescent="0.25">
      <c r="A32" s="20" t="s">
        <v>51</v>
      </c>
      <c r="B32" s="12">
        <f t="shared" ref="B32:S32" si="40">ROUNDDOWN($F26/18,0)+IF(MOD($F26,18)&gt;=B29,1,0)</f>
        <v>1</v>
      </c>
      <c r="C32" s="12">
        <f t="shared" si="40"/>
        <v>1</v>
      </c>
      <c r="D32" s="12">
        <f t="shared" si="40"/>
        <v>1</v>
      </c>
      <c r="E32" s="12">
        <f t="shared" si="40"/>
        <v>2</v>
      </c>
      <c r="F32" s="12">
        <f t="shared" si="40"/>
        <v>2</v>
      </c>
      <c r="G32" s="12">
        <f t="shared" si="40"/>
        <v>1</v>
      </c>
      <c r="H32" s="12">
        <f t="shared" si="40"/>
        <v>1</v>
      </c>
      <c r="I32" s="12">
        <f t="shared" si="40"/>
        <v>2</v>
      </c>
      <c r="J32" s="12">
        <f t="shared" si="40"/>
        <v>2</v>
      </c>
      <c r="K32" s="12">
        <f t="shared" si="40"/>
        <v>1</v>
      </c>
      <c r="L32" s="12">
        <f t="shared" si="40"/>
        <v>1</v>
      </c>
      <c r="M32" s="12">
        <f t="shared" si="40"/>
        <v>2</v>
      </c>
      <c r="N32" s="12">
        <f t="shared" si="40"/>
        <v>2</v>
      </c>
      <c r="O32" s="12">
        <f t="shared" si="40"/>
        <v>1</v>
      </c>
      <c r="P32" s="12">
        <f t="shared" si="40"/>
        <v>2</v>
      </c>
      <c r="Q32" s="12">
        <f t="shared" si="40"/>
        <v>2</v>
      </c>
      <c r="R32" s="12">
        <f t="shared" si="40"/>
        <v>1</v>
      </c>
      <c r="S32" s="12">
        <f t="shared" si="40"/>
        <v>2</v>
      </c>
      <c r="T32" s="12">
        <f>SUM(B32:S32)</f>
        <v>27</v>
      </c>
      <c r="U32" s="12"/>
      <c r="V32" s="15" t="s">
        <v>11</v>
      </c>
      <c r="W32" s="7" t="s">
        <v>33</v>
      </c>
      <c r="X32" t="s">
        <v>30</v>
      </c>
    </row>
    <row r="33" spans="1:24" ht="15.75" x14ac:dyDescent="0.25">
      <c r="A33" s="7" t="s">
        <v>52</v>
      </c>
      <c r="B33" s="12">
        <f t="shared" ref="B33" si="41">IF(B31-B32&gt;0,B31-B32,"")</f>
        <v>7</v>
      </c>
      <c r="C33" s="12">
        <f t="shared" ref="C33" si="42">IF(C31-C32&gt;0,C31-C32,"")</f>
        <v>5</v>
      </c>
      <c r="D33" s="12">
        <f t="shared" ref="D33" si="43">IF(D31-D32&gt;0,D31-D32,"")</f>
        <v>4</v>
      </c>
      <c r="E33" s="12">
        <f t="shared" ref="E33" si="44">IF(E31-E32&gt;0,E31-E32,"")</f>
        <v>4</v>
      </c>
      <c r="F33" s="12">
        <f t="shared" ref="F33" si="45">IF(F31-F32&gt;0,F31-F32,"")</f>
        <v>4</v>
      </c>
      <c r="G33" s="12">
        <f t="shared" ref="G33" si="46">IF(G31-G32&gt;0,G31-G32,"")</f>
        <v>7</v>
      </c>
      <c r="H33" s="12">
        <f t="shared" ref="H33" si="47">IF(H31-H32&gt;0,H31-H32,"")</f>
        <v>4</v>
      </c>
      <c r="I33" s="12">
        <f t="shared" ref="I33" si="48">IF(I31-I32&gt;0,I31-I32,"")</f>
        <v>3</v>
      </c>
      <c r="J33" s="12">
        <f t="shared" ref="J33" si="49">IF(J31-J32&gt;0,J31-J32,"")</f>
        <v>6</v>
      </c>
      <c r="K33" s="12">
        <f t="shared" ref="K33" si="50">IF(K31-K32&gt;0,K31-K32,"")</f>
        <v>4</v>
      </c>
      <c r="L33" s="12">
        <f t="shared" ref="L33" si="51">IF(L31-L32&gt;0,L31-L32,"")</f>
        <v>5</v>
      </c>
      <c r="M33" s="12">
        <f t="shared" ref="M33" si="52">IF(M31-M32&gt;0,M31-M32,"")</f>
        <v>3</v>
      </c>
      <c r="N33" s="12">
        <f t="shared" ref="N33" si="53">IF(N31-N32&gt;0,N31-N32,"")</f>
        <v>3</v>
      </c>
      <c r="O33" s="12">
        <f t="shared" ref="O33" si="54">IF(O31-O32&gt;0,O31-O32,"")</f>
        <v>6</v>
      </c>
      <c r="P33" s="12">
        <f t="shared" ref="P33" si="55">IF(P31-P32&gt;0,P31-P32,"")</f>
        <v>1</v>
      </c>
      <c r="Q33" s="12">
        <f t="shared" ref="Q33" si="56">IF(Q31-Q32&gt;0,Q31-Q32,"")</f>
        <v>3</v>
      </c>
      <c r="R33" s="12">
        <f t="shared" ref="R33" si="57">IF(R31-R32&gt;0,R31-R32,"")</f>
        <v>4</v>
      </c>
      <c r="S33" s="12">
        <f t="shared" ref="S33" si="58">IF(S31-S32&gt;0,S31-S32,"")</f>
        <v>8</v>
      </c>
      <c r="T33" s="12">
        <f>IF(SUM(B33:S33)&gt;0,SUM(B33:S33),"")</f>
        <v>81</v>
      </c>
      <c r="U33" s="12">
        <f>IF(SUM(B33:S33)&gt;0,SUM(B33:S33),"")</f>
        <v>81</v>
      </c>
      <c r="V33" s="16">
        <f>IF(U33 = "","",_xlfn.RANK.EQ(U33,U:U,1))</f>
        <v>3</v>
      </c>
      <c r="W33" s="7" t="str">
        <f>IF(U33="","",IF(COUNTIF(V:V,V33)&gt;1,CONCATENATE("T",V33),TEXT(V33,"0")))</f>
        <v>T3</v>
      </c>
      <c r="X33" s="14">
        <f ca="1">IF(U33="","",IF(ISNA(VLOOKUP(V33,PlacePayouts,1,FALSE)),"",AVERAGE(OFFSET(PlacePayouts,VLOOKUP(V33,PlacePayouts,1,FALSE)-1,1,COUNTIF(V:V,V33),1))*Kitty))</f>
        <v>20</v>
      </c>
    </row>
    <row r="34" spans="1:24" ht="15.75" x14ac:dyDescent="0.25">
      <c r="A34" s="7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6"/>
      <c r="W34" s="7"/>
      <c r="X34" s="14"/>
    </row>
    <row r="35" spans="1:24" ht="15.75" customHeight="1" x14ac:dyDescent="0.25">
      <c r="A35" s="7"/>
      <c r="B35" s="12"/>
      <c r="C35" s="13" t="s">
        <v>16</v>
      </c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7"/>
      <c r="U35" s="7"/>
      <c r="V35" s="15"/>
      <c r="W35" s="7"/>
    </row>
    <row r="36" spans="1:24" ht="15.75" customHeight="1" x14ac:dyDescent="0.25">
      <c r="A36" s="7" t="s">
        <v>6</v>
      </c>
      <c r="B36" s="7" t="s">
        <v>2</v>
      </c>
      <c r="C36" s="8" t="s">
        <v>29</v>
      </c>
      <c r="D36" s="9" t="s">
        <v>27</v>
      </c>
      <c r="E36" s="7"/>
      <c r="F36" s="7" t="s">
        <v>49</v>
      </c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15"/>
      <c r="W36" s="7"/>
    </row>
    <row r="37" spans="1:24" ht="15.75" x14ac:dyDescent="0.25">
      <c r="A37" s="7" t="str" cm="1">
        <f t="array" ref="A37">INDEX(PlayerNames,SUMPRODUCT((PlayerTeamNo=VALUE(RIGHT(A36,1)))*(PlayerPlayerNo=1)*ROW(PlayerNames))-1)</f>
        <v>Scott O'Hare</v>
      </c>
      <c r="B37" s="7" cm="1">
        <f t="array" ref="B37">MIN(INDEX(PlayerHandicaps,SUMPRODUCT((PlayerTeamNo=VALUE(RIGHT(A36,1)))*(PlayerPlayerNo=1)*ROW(PlayerHandicaps))-1),36)</f>
        <v>14.4</v>
      </c>
      <c r="C37" s="7" cm="1">
        <f t="array" ref="C37">IF(INDEX(PlayerGender,SUMPRODUCT((PlayerTeamNo=VALUE(RIGHT(A36,1)))*(PlayerPlayerNo=1)*ROW(PlayerGender))-1)="M",ROUND((B37*('Course &amp; Tourney'!$B$3/113))+('Course &amp; Tourney'!$B$4-'Course &amp; Tourney'!$B$5),0),ROUND((B37*('Course &amp; Tourney'!$B$7/113))+('Course &amp; Tourney'!$B$8-'Course &amp; Tourney'!$B$9),0))</f>
        <v>13</v>
      </c>
      <c r="D37" s="7">
        <f>ROUND(C37*'Course &amp; Tourney'!$B$10,0)</f>
        <v>12</v>
      </c>
      <c r="E37" s="7"/>
      <c r="F37" s="7">
        <f>ROUND(AVERAGE(D37:D38),0)</f>
        <v>20</v>
      </c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15"/>
      <c r="W37" s="7"/>
    </row>
    <row r="38" spans="1:24" ht="15.75" x14ac:dyDescent="0.25">
      <c r="A38" s="7" t="str" cm="1">
        <f t="array" ref="A38">INDEX(PlayerNames,SUMPRODUCT((PlayerTeamNo=VALUE(RIGHT(A36,1)))*(PlayerPlayerNo=2)*ROW(PlayerNames))-1)</f>
        <v>Chris Lundhagen</v>
      </c>
      <c r="B38" s="7" cm="1">
        <f t="array" ref="B38">MIN(INDEX(PlayerHandicaps,SUMPRODUCT((PlayerTeamNo=VALUE(RIGHT(A36,1)))*(PlayerPlayerNo=2)*ROW(PlayerHandicaps))-1),36)</f>
        <v>30.7</v>
      </c>
      <c r="C38" s="7" cm="1">
        <f t="array" ref="C38">IF(INDEX(PlayerGender,SUMPRODUCT((PlayerTeamNo=VALUE(RIGHT(A36,1)))*(PlayerPlayerNo=2)*ROW(PlayerGender))-1)="M",ROUND((B38*('Course &amp; Tourney'!$B$3/113))+('Course &amp; Tourney'!$B$4-'Course &amp; Tourney'!$B$5),0),ROUND((B38*('Course &amp; Tourney'!$B$7/113))+('Course &amp; Tourney'!$B$8-'Course &amp; Tourney'!$B$9),0))</f>
        <v>31</v>
      </c>
      <c r="D38" s="7">
        <f>ROUND(C38*'Course &amp; Tourney'!$B$10,0)</f>
        <v>28</v>
      </c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15"/>
      <c r="W38" s="7"/>
    </row>
    <row r="39" spans="1:24" ht="15.75" x14ac:dyDescent="0.25">
      <c r="A39" s="7" t="s">
        <v>3</v>
      </c>
      <c r="B39" s="10">
        <v>1</v>
      </c>
      <c r="C39" s="10">
        <v>2</v>
      </c>
      <c r="D39" s="10">
        <v>3</v>
      </c>
      <c r="E39" s="10">
        <v>4</v>
      </c>
      <c r="F39" s="10">
        <v>5</v>
      </c>
      <c r="G39" s="10">
        <v>6</v>
      </c>
      <c r="H39" s="10">
        <v>7</v>
      </c>
      <c r="I39" s="10">
        <v>8</v>
      </c>
      <c r="J39" s="10">
        <v>9</v>
      </c>
      <c r="K39" s="10">
        <v>10</v>
      </c>
      <c r="L39" s="10">
        <v>11</v>
      </c>
      <c r="M39" s="10">
        <v>12</v>
      </c>
      <c r="N39" s="10">
        <v>13</v>
      </c>
      <c r="O39" s="10">
        <v>14</v>
      </c>
      <c r="P39" s="10">
        <v>15</v>
      </c>
      <c r="Q39" s="10">
        <v>16</v>
      </c>
      <c r="R39" s="10">
        <v>17</v>
      </c>
      <c r="S39" s="10">
        <v>18</v>
      </c>
      <c r="T39" s="7"/>
      <c r="U39" s="7"/>
      <c r="V39" s="15"/>
      <c r="W39" s="7"/>
    </row>
    <row r="40" spans="1:24" ht="15.75" x14ac:dyDescent="0.25">
      <c r="A40" s="7" t="s">
        <v>1</v>
      </c>
      <c r="B40" s="11">
        <v>14</v>
      </c>
      <c r="C40" s="11">
        <v>18</v>
      </c>
      <c r="D40" s="11">
        <v>10</v>
      </c>
      <c r="E40" s="11">
        <v>4</v>
      </c>
      <c r="F40" s="11">
        <v>8</v>
      </c>
      <c r="G40" s="11">
        <v>16</v>
      </c>
      <c r="H40" s="11">
        <v>12</v>
      </c>
      <c r="I40" s="11">
        <v>6</v>
      </c>
      <c r="J40" s="11">
        <v>2</v>
      </c>
      <c r="K40" s="11">
        <v>15</v>
      </c>
      <c r="L40" s="11">
        <v>13</v>
      </c>
      <c r="M40" s="11">
        <v>3</v>
      </c>
      <c r="N40" s="11">
        <v>7</v>
      </c>
      <c r="O40" s="11">
        <v>17</v>
      </c>
      <c r="P40" s="11">
        <v>9</v>
      </c>
      <c r="Q40" s="11">
        <v>5</v>
      </c>
      <c r="R40" s="11">
        <v>11</v>
      </c>
      <c r="S40" s="11">
        <v>1</v>
      </c>
      <c r="T40" s="7" t="s">
        <v>12</v>
      </c>
      <c r="U40" s="7"/>
      <c r="V40" s="15"/>
      <c r="W40" s="7"/>
    </row>
    <row r="41" spans="1:24" ht="15.75" x14ac:dyDescent="0.25">
      <c r="A41" s="7" t="str">
        <f>CONCATENATE(A37, " Tee Shot Used")</f>
        <v>Scott O'Hare Tee Shot Used</v>
      </c>
      <c r="B41" s="11" t="s">
        <v>59</v>
      </c>
      <c r="C41" s="11" t="s">
        <v>59</v>
      </c>
      <c r="D41" s="11" t="s">
        <v>59</v>
      </c>
      <c r="E41" s="11"/>
      <c r="F41" s="11"/>
      <c r="G41" s="11"/>
      <c r="H41" s="11" t="s">
        <v>59</v>
      </c>
      <c r="I41" s="11"/>
      <c r="J41" s="11" t="s">
        <v>59</v>
      </c>
      <c r="K41" s="11" t="s">
        <v>59</v>
      </c>
      <c r="L41" s="11"/>
      <c r="M41" s="11" t="s">
        <v>59</v>
      </c>
      <c r="N41" s="11"/>
      <c r="O41" s="11" t="s">
        <v>59</v>
      </c>
      <c r="P41" s="11"/>
      <c r="Q41" s="11" t="s">
        <v>59</v>
      </c>
      <c r="R41" s="11" t="s">
        <v>59</v>
      </c>
      <c r="S41" s="11" t="s">
        <v>59</v>
      </c>
      <c r="T41" s="21">
        <f>COUNTIF(B41:S41,"&lt;&gt;")</f>
        <v>11</v>
      </c>
      <c r="U41" s="7"/>
      <c r="V41" s="15"/>
      <c r="W41" s="7"/>
    </row>
    <row r="42" spans="1:24" ht="15.75" x14ac:dyDescent="0.25">
      <c r="A42" s="20" t="s">
        <v>50</v>
      </c>
      <c r="B42" s="12">
        <v>6</v>
      </c>
      <c r="C42" s="12">
        <v>5</v>
      </c>
      <c r="D42" s="12">
        <v>3</v>
      </c>
      <c r="E42" s="12">
        <v>5</v>
      </c>
      <c r="F42" s="12">
        <v>5</v>
      </c>
      <c r="G42" s="12">
        <v>5</v>
      </c>
      <c r="H42" s="12">
        <v>4</v>
      </c>
      <c r="I42" s="12">
        <v>5</v>
      </c>
      <c r="J42" s="12">
        <v>5</v>
      </c>
      <c r="K42" s="12">
        <v>5</v>
      </c>
      <c r="L42" s="12">
        <v>9</v>
      </c>
      <c r="M42" s="12">
        <v>4</v>
      </c>
      <c r="N42" s="12">
        <v>6</v>
      </c>
      <c r="O42" s="12">
        <v>6</v>
      </c>
      <c r="P42" s="12">
        <v>3</v>
      </c>
      <c r="Q42" s="12">
        <v>6</v>
      </c>
      <c r="R42" s="12">
        <v>5</v>
      </c>
      <c r="S42" s="12">
        <v>6</v>
      </c>
      <c r="T42" s="12">
        <f t="shared" ref="T42" si="59">IF(SUM(B42:S42)&gt;0,SUM(B42:S42),"")</f>
        <v>93</v>
      </c>
      <c r="U42" s="12"/>
      <c r="V42" s="15"/>
      <c r="W42" s="7"/>
    </row>
    <row r="43" spans="1:24" ht="15.75" x14ac:dyDescent="0.25">
      <c r="A43" s="20" t="s">
        <v>51</v>
      </c>
      <c r="B43" s="12">
        <f t="shared" ref="B43:S43" si="60">ROUNDDOWN($F37/18,0)+IF(MOD($F37,18)&gt;=B40,1,0)</f>
        <v>1</v>
      </c>
      <c r="C43" s="12">
        <f t="shared" si="60"/>
        <v>1</v>
      </c>
      <c r="D43" s="12">
        <f t="shared" si="60"/>
        <v>1</v>
      </c>
      <c r="E43" s="12">
        <f t="shared" si="60"/>
        <v>1</v>
      </c>
      <c r="F43" s="12">
        <f t="shared" si="60"/>
        <v>1</v>
      </c>
      <c r="G43" s="12">
        <f t="shared" si="60"/>
        <v>1</v>
      </c>
      <c r="H43" s="12">
        <f t="shared" si="60"/>
        <v>1</v>
      </c>
      <c r="I43" s="12">
        <f t="shared" si="60"/>
        <v>1</v>
      </c>
      <c r="J43" s="12">
        <f t="shared" si="60"/>
        <v>2</v>
      </c>
      <c r="K43" s="12">
        <f t="shared" si="60"/>
        <v>1</v>
      </c>
      <c r="L43" s="12">
        <f t="shared" si="60"/>
        <v>1</v>
      </c>
      <c r="M43" s="12">
        <f t="shared" si="60"/>
        <v>1</v>
      </c>
      <c r="N43" s="12">
        <f t="shared" si="60"/>
        <v>1</v>
      </c>
      <c r="O43" s="12">
        <f t="shared" si="60"/>
        <v>1</v>
      </c>
      <c r="P43" s="12">
        <f t="shared" si="60"/>
        <v>1</v>
      </c>
      <c r="Q43" s="12">
        <f t="shared" si="60"/>
        <v>1</v>
      </c>
      <c r="R43" s="12">
        <f t="shared" si="60"/>
        <v>1</v>
      </c>
      <c r="S43" s="12">
        <f t="shared" si="60"/>
        <v>2</v>
      </c>
      <c r="T43" s="12">
        <f>SUM(B43:S43)</f>
        <v>20</v>
      </c>
      <c r="U43" s="12"/>
      <c r="V43" s="15" t="s">
        <v>11</v>
      </c>
      <c r="W43" s="7" t="s">
        <v>33</v>
      </c>
      <c r="X43" t="s">
        <v>30</v>
      </c>
    </row>
    <row r="44" spans="1:24" ht="15.75" x14ac:dyDescent="0.25">
      <c r="A44" s="7" t="s">
        <v>52</v>
      </c>
      <c r="B44" s="12">
        <f t="shared" ref="B44:S44" si="61">IF(B42-B43&gt;0,B42-B43,"")</f>
        <v>5</v>
      </c>
      <c r="C44" s="12">
        <f t="shared" si="61"/>
        <v>4</v>
      </c>
      <c r="D44" s="12">
        <f t="shared" si="61"/>
        <v>2</v>
      </c>
      <c r="E44" s="12">
        <f t="shared" si="61"/>
        <v>4</v>
      </c>
      <c r="F44" s="12">
        <f t="shared" si="61"/>
        <v>4</v>
      </c>
      <c r="G44" s="12">
        <f t="shared" si="61"/>
        <v>4</v>
      </c>
      <c r="H44" s="12">
        <f t="shared" si="61"/>
        <v>3</v>
      </c>
      <c r="I44" s="12">
        <f t="shared" si="61"/>
        <v>4</v>
      </c>
      <c r="J44" s="12">
        <f t="shared" si="61"/>
        <v>3</v>
      </c>
      <c r="K44" s="12">
        <f t="shared" si="61"/>
        <v>4</v>
      </c>
      <c r="L44" s="12">
        <f t="shared" si="61"/>
        <v>8</v>
      </c>
      <c r="M44" s="12">
        <f t="shared" si="61"/>
        <v>3</v>
      </c>
      <c r="N44" s="12">
        <f t="shared" si="61"/>
        <v>5</v>
      </c>
      <c r="O44" s="12">
        <f t="shared" si="61"/>
        <v>5</v>
      </c>
      <c r="P44" s="12">
        <f t="shared" si="61"/>
        <v>2</v>
      </c>
      <c r="Q44" s="12">
        <f t="shared" si="61"/>
        <v>5</v>
      </c>
      <c r="R44" s="12">
        <f t="shared" si="61"/>
        <v>4</v>
      </c>
      <c r="S44" s="12">
        <f t="shared" si="61"/>
        <v>4</v>
      </c>
      <c r="T44" s="12">
        <f>IF(SUM(B44:S44)&gt;0,SUM(B44:S44),"")</f>
        <v>73</v>
      </c>
      <c r="U44" s="12">
        <f>IF(SUM(B44:S44)&gt;0,SUM(B44:S44),"")</f>
        <v>73</v>
      </c>
      <c r="V44" s="16">
        <f>IF(U44 = "","",_xlfn.RANK.EQ(U44,U:U,1))</f>
        <v>2</v>
      </c>
      <c r="W44" s="7" t="str">
        <f>IF(U44="","",IF(COUNTIF(V:V,V44)&gt;1,CONCATENATE("T",V44),TEXT(V44,"0")))</f>
        <v>2</v>
      </c>
      <c r="X44" s="14">
        <f ca="1">IF(U44="","",IF(ISNA(VLOOKUP(V44,PlacePayouts,1,FALSE)),"",AVERAGE(OFFSET(PlacePayouts,VLOOKUP(V44,PlacePayouts,1,FALSE)-1,1,COUNTIF(V:V,V44),1))*Kitty))</f>
        <v>60</v>
      </c>
    </row>
    <row r="45" spans="1:24" ht="15.75" x14ac:dyDescent="0.25">
      <c r="A45" s="7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6"/>
      <c r="W45" s="7"/>
      <c r="X45" s="14"/>
    </row>
    <row r="46" spans="1:24" ht="15.75" customHeight="1" x14ac:dyDescent="0.25">
      <c r="A46" s="7"/>
      <c r="B46" s="12"/>
      <c r="C46" s="13" t="s">
        <v>16</v>
      </c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7"/>
      <c r="U46" s="7"/>
      <c r="V46" s="15"/>
      <c r="W46" s="7"/>
    </row>
    <row r="47" spans="1:24" ht="15.75" customHeight="1" x14ac:dyDescent="0.25">
      <c r="A47" s="7" t="s">
        <v>7</v>
      </c>
      <c r="B47" s="7" t="s">
        <v>2</v>
      </c>
      <c r="C47" s="8" t="s">
        <v>29</v>
      </c>
      <c r="D47" s="9" t="s">
        <v>27</v>
      </c>
      <c r="E47" s="7"/>
      <c r="F47" s="7" t="s">
        <v>49</v>
      </c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15"/>
      <c r="W47" s="7"/>
    </row>
    <row r="48" spans="1:24" ht="15.75" x14ac:dyDescent="0.25">
      <c r="A48" s="7" t="str" cm="1">
        <f t="array" ref="A48">INDEX(PlayerNames,SUMPRODUCT((PlayerTeamNo=VALUE(RIGHT(A47,1)))*(PlayerPlayerNo=1)*ROW(PlayerNames))-1)</f>
        <v>Bruce Dakin</v>
      </c>
      <c r="B48" s="7" cm="1">
        <f t="array" ref="B48">MIN(INDEX(PlayerHandicaps,SUMPRODUCT((PlayerTeamNo=VALUE(RIGHT(A47,1)))*(PlayerPlayerNo=1)*ROW(PlayerHandicaps))-1),36)</f>
        <v>13.2</v>
      </c>
      <c r="C48" s="7" cm="1">
        <f t="array" ref="C48">IF(INDEX(PlayerGender,SUMPRODUCT((PlayerTeamNo=VALUE(RIGHT(A47,1)))*(PlayerPlayerNo=1)*ROW(PlayerGender))-1)="M",ROUND((B48*('Course &amp; Tourney'!$B$3/113))+('Course &amp; Tourney'!$B$4-'Course &amp; Tourney'!$B$5),0),ROUND((B48*('Course &amp; Tourney'!$B$7/113))+('Course &amp; Tourney'!$B$8-'Course &amp; Tourney'!$B$9),0))</f>
        <v>12</v>
      </c>
      <c r="D48" s="7">
        <f>ROUND(C48*'Course &amp; Tourney'!$B$10,0)</f>
        <v>11</v>
      </c>
      <c r="E48" s="7"/>
      <c r="F48" s="7">
        <f>ROUND(AVERAGE(D48:D49),0)</f>
        <v>9</v>
      </c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15"/>
      <c r="W48" s="7"/>
    </row>
    <row r="49" spans="1:24" ht="15.75" x14ac:dyDescent="0.25">
      <c r="A49" s="7" t="str" cm="1">
        <f t="array" ref="A49">INDEX(PlayerNames,SUMPRODUCT((PlayerTeamNo=VALUE(RIGHT(A47,1)))*(PlayerPlayerNo=2)*ROW(PlayerNames))-1)</f>
        <v>Mitch Leitner</v>
      </c>
      <c r="B49" s="7" cm="1">
        <f t="array" ref="B49">MIN(INDEX(PlayerHandicaps,SUMPRODUCT((PlayerTeamNo=VALUE(RIGHT(A47,1)))*(PlayerPlayerNo=2)*ROW(PlayerHandicaps))-1),36)</f>
        <v>9.8000000000000007</v>
      </c>
      <c r="C49" s="7" cm="1">
        <f t="array" ref="C49">IF(INDEX(PlayerGender,SUMPRODUCT((PlayerTeamNo=VALUE(RIGHT(A47,1)))*(PlayerPlayerNo=2)*ROW(PlayerGender))-1)="M",ROUND((B49*('Course &amp; Tourney'!$B$3/113))+('Course &amp; Tourney'!$B$4-'Course &amp; Tourney'!$B$5),0),ROUND((B49*('Course &amp; Tourney'!$B$7/113))+('Course &amp; Tourney'!$B$8-'Course &amp; Tourney'!$B$9),0))</f>
        <v>8</v>
      </c>
      <c r="D49" s="7">
        <f>ROUND(C49*'Course &amp; Tourney'!$B$10,0)</f>
        <v>7</v>
      </c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15"/>
      <c r="W49" s="7"/>
    </row>
    <row r="50" spans="1:24" ht="15.75" x14ac:dyDescent="0.25">
      <c r="A50" s="7" t="s">
        <v>3</v>
      </c>
      <c r="B50" s="10">
        <v>1</v>
      </c>
      <c r="C50" s="10">
        <v>2</v>
      </c>
      <c r="D50" s="10">
        <v>3</v>
      </c>
      <c r="E50" s="10">
        <v>4</v>
      </c>
      <c r="F50" s="10">
        <v>5</v>
      </c>
      <c r="G50" s="10">
        <v>6</v>
      </c>
      <c r="H50" s="10">
        <v>7</v>
      </c>
      <c r="I50" s="10">
        <v>8</v>
      </c>
      <c r="J50" s="10">
        <v>9</v>
      </c>
      <c r="K50" s="10">
        <v>10</v>
      </c>
      <c r="L50" s="10">
        <v>11</v>
      </c>
      <c r="M50" s="10">
        <v>12</v>
      </c>
      <c r="N50" s="10">
        <v>13</v>
      </c>
      <c r="O50" s="10">
        <v>14</v>
      </c>
      <c r="P50" s="10">
        <v>15</v>
      </c>
      <c r="Q50" s="10">
        <v>16</v>
      </c>
      <c r="R50" s="10">
        <v>17</v>
      </c>
      <c r="S50" s="10">
        <v>18</v>
      </c>
      <c r="T50" s="7"/>
      <c r="U50" s="7"/>
      <c r="V50" s="15"/>
      <c r="W50" s="7"/>
    </row>
    <row r="51" spans="1:24" ht="15.75" x14ac:dyDescent="0.25">
      <c r="A51" s="7" t="s">
        <v>1</v>
      </c>
      <c r="B51" s="11">
        <v>14</v>
      </c>
      <c r="C51" s="11">
        <v>18</v>
      </c>
      <c r="D51" s="11">
        <v>10</v>
      </c>
      <c r="E51" s="11">
        <v>4</v>
      </c>
      <c r="F51" s="11">
        <v>8</v>
      </c>
      <c r="G51" s="11">
        <v>16</v>
      </c>
      <c r="H51" s="11">
        <v>12</v>
      </c>
      <c r="I51" s="11">
        <v>6</v>
      </c>
      <c r="J51" s="11">
        <v>2</v>
      </c>
      <c r="K51" s="11">
        <v>15</v>
      </c>
      <c r="L51" s="11">
        <v>13</v>
      </c>
      <c r="M51" s="11">
        <v>3</v>
      </c>
      <c r="N51" s="11">
        <v>7</v>
      </c>
      <c r="O51" s="11">
        <v>17</v>
      </c>
      <c r="P51" s="11">
        <v>9</v>
      </c>
      <c r="Q51" s="11">
        <v>5</v>
      </c>
      <c r="R51" s="11">
        <v>11</v>
      </c>
      <c r="S51" s="11">
        <v>1</v>
      </c>
      <c r="T51" s="7" t="s">
        <v>12</v>
      </c>
      <c r="U51" s="7"/>
      <c r="V51" s="15"/>
      <c r="W51" s="7"/>
    </row>
    <row r="52" spans="1:24" ht="15.75" x14ac:dyDescent="0.25">
      <c r="A52" s="7" t="str">
        <f>CONCATENATE(A48, " Tee Shot Used")</f>
        <v>Bruce Dakin Tee Shot Used</v>
      </c>
      <c r="B52" s="11"/>
      <c r="C52" s="11"/>
      <c r="D52" s="11"/>
      <c r="E52" s="11" t="s">
        <v>59</v>
      </c>
      <c r="F52" s="11"/>
      <c r="G52" s="11" t="s">
        <v>59</v>
      </c>
      <c r="H52" s="11" t="s">
        <v>59</v>
      </c>
      <c r="I52" s="11"/>
      <c r="J52" s="11" t="s">
        <v>59</v>
      </c>
      <c r="K52" s="11"/>
      <c r="L52" s="11" t="s">
        <v>59</v>
      </c>
      <c r="M52" s="11" t="s">
        <v>59</v>
      </c>
      <c r="N52" s="11"/>
      <c r="O52" s="11"/>
      <c r="P52" s="11" t="s">
        <v>59</v>
      </c>
      <c r="Q52" s="11"/>
      <c r="R52" s="11"/>
      <c r="S52" s="11"/>
      <c r="T52" s="21">
        <f>COUNTIF(B52:S52,"&lt;&gt;")</f>
        <v>7</v>
      </c>
      <c r="U52" s="7"/>
      <c r="V52" s="15"/>
      <c r="W52" s="7"/>
    </row>
    <row r="53" spans="1:24" ht="15.75" x14ac:dyDescent="0.25">
      <c r="A53" s="20" t="s">
        <v>50</v>
      </c>
      <c r="B53" s="12">
        <v>4</v>
      </c>
      <c r="C53" s="12">
        <v>5</v>
      </c>
      <c r="D53" s="12">
        <v>4</v>
      </c>
      <c r="E53" s="12">
        <v>4</v>
      </c>
      <c r="F53" s="12">
        <v>3</v>
      </c>
      <c r="G53" s="12">
        <v>5</v>
      </c>
      <c r="H53" s="12">
        <v>4</v>
      </c>
      <c r="I53" s="12">
        <v>5</v>
      </c>
      <c r="J53" s="12">
        <v>5</v>
      </c>
      <c r="K53" s="12">
        <v>4</v>
      </c>
      <c r="L53" s="12">
        <v>5</v>
      </c>
      <c r="M53" s="12">
        <v>3</v>
      </c>
      <c r="N53" s="12">
        <v>5</v>
      </c>
      <c r="O53" s="12">
        <v>5</v>
      </c>
      <c r="P53" s="12">
        <v>4</v>
      </c>
      <c r="Q53" s="12">
        <v>4</v>
      </c>
      <c r="R53" s="12">
        <v>5</v>
      </c>
      <c r="S53" s="12">
        <v>6</v>
      </c>
      <c r="T53" s="12">
        <f t="shared" ref="T53" si="62">IF(SUM(B53:S53)&gt;0,SUM(B53:S53),"")</f>
        <v>80</v>
      </c>
      <c r="U53" s="12"/>
      <c r="V53" s="15"/>
      <c r="W53" s="7"/>
    </row>
    <row r="54" spans="1:24" ht="15.75" x14ac:dyDescent="0.25">
      <c r="A54" s="20" t="s">
        <v>51</v>
      </c>
      <c r="B54" s="12">
        <f t="shared" ref="B54:S54" si="63">ROUNDDOWN($F48/18,0)+IF(MOD($F48,18)&gt;=B51,1,0)</f>
        <v>0</v>
      </c>
      <c r="C54" s="12">
        <f t="shared" si="63"/>
        <v>0</v>
      </c>
      <c r="D54" s="12">
        <f t="shared" si="63"/>
        <v>0</v>
      </c>
      <c r="E54" s="12">
        <f t="shared" si="63"/>
        <v>1</v>
      </c>
      <c r="F54" s="12">
        <f t="shared" si="63"/>
        <v>1</v>
      </c>
      <c r="G54" s="12">
        <f t="shared" si="63"/>
        <v>0</v>
      </c>
      <c r="H54" s="12">
        <f t="shared" si="63"/>
        <v>0</v>
      </c>
      <c r="I54" s="12">
        <f t="shared" si="63"/>
        <v>1</v>
      </c>
      <c r="J54" s="12">
        <f t="shared" si="63"/>
        <v>1</v>
      </c>
      <c r="K54" s="12">
        <f t="shared" si="63"/>
        <v>0</v>
      </c>
      <c r="L54" s="12">
        <f t="shared" si="63"/>
        <v>0</v>
      </c>
      <c r="M54" s="12">
        <f t="shared" si="63"/>
        <v>1</v>
      </c>
      <c r="N54" s="12">
        <f t="shared" si="63"/>
        <v>1</v>
      </c>
      <c r="O54" s="12">
        <f t="shared" si="63"/>
        <v>0</v>
      </c>
      <c r="P54" s="12">
        <f t="shared" si="63"/>
        <v>1</v>
      </c>
      <c r="Q54" s="12">
        <f t="shared" si="63"/>
        <v>1</v>
      </c>
      <c r="R54" s="12">
        <f t="shared" si="63"/>
        <v>0</v>
      </c>
      <c r="S54" s="12">
        <f t="shared" si="63"/>
        <v>1</v>
      </c>
      <c r="T54" s="12">
        <f>SUM(B54:S54)</f>
        <v>9</v>
      </c>
      <c r="U54" s="12"/>
      <c r="V54" s="15" t="s">
        <v>11</v>
      </c>
      <c r="W54" s="7" t="s">
        <v>33</v>
      </c>
      <c r="X54" t="s">
        <v>30</v>
      </c>
    </row>
    <row r="55" spans="1:24" ht="15.75" x14ac:dyDescent="0.25">
      <c r="A55" s="7" t="s">
        <v>52</v>
      </c>
      <c r="B55" s="12">
        <f t="shared" ref="B55:S55" si="64">IF(B53-B54&gt;0,B53-B54,"")</f>
        <v>4</v>
      </c>
      <c r="C55" s="12">
        <f t="shared" si="64"/>
        <v>5</v>
      </c>
      <c r="D55" s="12">
        <f t="shared" si="64"/>
        <v>4</v>
      </c>
      <c r="E55" s="12">
        <f t="shared" si="64"/>
        <v>3</v>
      </c>
      <c r="F55" s="12">
        <f t="shared" si="64"/>
        <v>2</v>
      </c>
      <c r="G55" s="12">
        <f t="shared" si="64"/>
        <v>5</v>
      </c>
      <c r="H55" s="12">
        <f t="shared" si="64"/>
        <v>4</v>
      </c>
      <c r="I55" s="12">
        <f t="shared" si="64"/>
        <v>4</v>
      </c>
      <c r="J55" s="12">
        <f t="shared" si="64"/>
        <v>4</v>
      </c>
      <c r="K55" s="12">
        <f t="shared" si="64"/>
        <v>4</v>
      </c>
      <c r="L55" s="12">
        <f t="shared" si="64"/>
        <v>5</v>
      </c>
      <c r="M55" s="12">
        <f t="shared" si="64"/>
        <v>2</v>
      </c>
      <c r="N55" s="12">
        <f t="shared" si="64"/>
        <v>4</v>
      </c>
      <c r="O55" s="12">
        <f t="shared" si="64"/>
        <v>5</v>
      </c>
      <c r="P55" s="12">
        <f t="shared" si="64"/>
        <v>3</v>
      </c>
      <c r="Q55" s="12">
        <f t="shared" si="64"/>
        <v>3</v>
      </c>
      <c r="R55" s="12">
        <f t="shared" si="64"/>
        <v>5</v>
      </c>
      <c r="S55" s="12">
        <f t="shared" si="64"/>
        <v>5</v>
      </c>
      <c r="T55" s="12">
        <f>IF(SUM(B55:S55)&gt;0,SUM(B55:S55),"")</f>
        <v>71</v>
      </c>
      <c r="U55" s="12">
        <f>IF(SUM(B55:S55)&gt;0,SUM(B55:S55),"")</f>
        <v>71</v>
      </c>
      <c r="V55" s="16">
        <f>IF(U55 = "","",_xlfn.RANK.EQ(U55,U:U,1))</f>
        <v>1</v>
      </c>
      <c r="W55" s="7" t="str">
        <f>IF(U55="","",IF(COUNTIF(V:V,V55)&gt;1,CONCATENATE("T",V55),TEXT(V55,"0")))</f>
        <v>1</v>
      </c>
      <c r="X55" s="14">
        <f ca="1">IF(U55="","",IF(ISNA(VLOOKUP(V55,PlacePayouts,1,FALSE)),"",AVERAGE(OFFSET(PlacePayouts,VLOOKUP(V55,PlacePayouts,1,FALSE)-1,1,COUNTIF(V:V,V55),1))*Kitty))</f>
        <v>100</v>
      </c>
    </row>
    <row r="57" spans="1:24" x14ac:dyDescent="0.25">
      <c r="C57" s="5"/>
      <c r="D57" s="6"/>
    </row>
    <row r="60" spans="1:24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</row>
    <row r="61" spans="1:24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</row>
    <row r="62" spans="1:24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</row>
    <row r="63" spans="1:24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</row>
    <row r="64" spans="1:24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</row>
    <row r="65" spans="2:22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</row>
    <row r="66" spans="2:22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</row>
    <row r="67" spans="2:22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</row>
    <row r="68" spans="2:22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18"/>
    </row>
    <row r="70" spans="2:22" x14ac:dyDescent="0.25">
      <c r="C70" s="5"/>
      <c r="D70" s="6"/>
    </row>
    <row r="73" spans="2:22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</row>
    <row r="74" spans="2:2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</row>
    <row r="75" spans="2:22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</row>
    <row r="76" spans="2:22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</row>
    <row r="77" spans="2:22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</row>
    <row r="78" spans="2:22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</row>
    <row r="79" spans="2:22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</row>
    <row r="80" spans="2:22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</row>
    <row r="81" spans="2:22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18"/>
    </row>
  </sheetData>
  <printOptions gridLines="1"/>
  <pageMargins left="0.2" right="0.2" top="0.2" bottom="0.2" header="0" footer="0"/>
  <pageSetup scale="75" fitToHeight="0" orientation="landscape" r:id="rId1"/>
  <rowBreaks count="1" manualBreakCount="1">
    <brk id="3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A663B-535C-4AFC-8173-500F8E61D7C9}">
  <dimension ref="A1:F11"/>
  <sheetViews>
    <sheetView workbookViewId="0">
      <selection activeCell="A36" sqref="A36"/>
    </sheetView>
  </sheetViews>
  <sheetFormatPr defaultRowHeight="15" x14ac:dyDescent="0.25"/>
  <cols>
    <col min="1" max="1" width="14.140625" bestFit="1" customWidth="1"/>
    <col min="6" max="6" width="11" bestFit="1" customWidth="1"/>
  </cols>
  <sheetData>
    <row r="1" spans="1:6" x14ac:dyDescent="0.25">
      <c r="B1" t="s">
        <v>13</v>
      </c>
      <c r="C1" t="s">
        <v>14</v>
      </c>
      <c r="D1" t="s">
        <v>15</v>
      </c>
      <c r="E1" t="s">
        <v>24</v>
      </c>
      <c r="F1" t="s">
        <v>44</v>
      </c>
    </row>
    <row r="2" spans="1:6" x14ac:dyDescent="0.25">
      <c r="A2" t="s">
        <v>10</v>
      </c>
      <c r="B2">
        <v>28.7</v>
      </c>
      <c r="C2">
        <v>1</v>
      </c>
      <c r="D2">
        <v>1</v>
      </c>
      <c r="E2" t="s">
        <v>25</v>
      </c>
      <c r="F2" s="14">
        <v>20</v>
      </c>
    </row>
    <row r="3" spans="1:6" x14ac:dyDescent="0.25">
      <c r="A3" t="s">
        <v>36</v>
      </c>
      <c r="B3">
        <v>29</v>
      </c>
      <c r="C3">
        <v>1</v>
      </c>
      <c r="D3">
        <v>2</v>
      </c>
      <c r="E3" t="s">
        <v>25</v>
      </c>
      <c r="F3" s="14">
        <v>20</v>
      </c>
    </row>
    <row r="4" spans="1:6" x14ac:dyDescent="0.25">
      <c r="A4" t="s">
        <v>9</v>
      </c>
      <c r="B4">
        <v>41.8</v>
      </c>
      <c r="C4">
        <v>2</v>
      </c>
      <c r="D4">
        <v>1</v>
      </c>
      <c r="E4" t="s">
        <v>25</v>
      </c>
      <c r="F4" s="14">
        <v>20</v>
      </c>
    </row>
    <row r="5" spans="1:6" x14ac:dyDescent="0.25">
      <c r="A5" t="s">
        <v>37</v>
      </c>
      <c r="B5">
        <v>34.799999999999997</v>
      </c>
      <c r="C5">
        <v>2</v>
      </c>
      <c r="D5">
        <v>2</v>
      </c>
      <c r="E5" t="s">
        <v>25</v>
      </c>
      <c r="F5" s="19">
        <v>20</v>
      </c>
    </row>
    <row r="6" spans="1:6" x14ac:dyDescent="0.25">
      <c r="A6" t="s">
        <v>38</v>
      </c>
      <c r="B6">
        <v>27</v>
      </c>
      <c r="C6">
        <v>3</v>
      </c>
      <c r="D6">
        <v>1</v>
      </c>
      <c r="E6" t="s">
        <v>43</v>
      </c>
      <c r="F6" s="14">
        <v>20</v>
      </c>
    </row>
    <row r="7" spans="1:6" x14ac:dyDescent="0.25">
      <c r="A7" t="s">
        <v>8</v>
      </c>
      <c r="B7">
        <v>41.8</v>
      </c>
      <c r="C7">
        <v>3</v>
      </c>
      <c r="D7">
        <v>2</v>
      </c>
      <c r="E7" t="s">
        <v>25</v>
      </c>
      <c r="F7" s="14">
        <v>20</v>
      </c>
    </row>
    <row r="8" spans="1:6" x14ac:dyDescent="0.25">
      <c r="A8" t="s">
        <v>39</v>
      </c>
      <c r="B8">
        <v>14.4</v>
      </c>
      <c r="C8">
        <v>4</v>
      </c>
      <c r="D8">
        <v>1</v>
      </c>
      <c r="E8" t="s">
        <v>25</v>
      </c>
      <c r="F8" s="14">
        <v>20</v>
      </c>
    </row>
    <row r="9" spans="1:6" x14ac:dyDescent="0.25">
      <c r="A9" t="s">
        <v>40</v>
      </c>
      <c r="B9">
        <v>30.7</v>
      </c>
      <c r="C9">
        <v>4</v>
      </c>
      <c r="D9">
        <v>2</v>
      </c>
      <c r="E9" t="s">
        <v>25</v>
      </c>
      <c r="F9" s="14">
        <v>20</v>
      </c>
    </row>
    <row r="10" spans="1:6" x14ac:dyDescent="0.25">
      <c r="A10" t="s">
        <v>41</v>
      </c>
      <c r="B10">
        <v>13.2</v>
      </c>
      <c r="C10">
        <v>5</v>
      </c>
      <c r="D10">
        <v>1</v>
      </c>
      <c r="E10" t="s">
        <v>25</v>
      </c>
      <c r="F10" s="14">
        <v>20</v>
      </c>
    </row>
    <row r="11" spans="1:6" x14ac:dyDescent="0.25">
      <c r="A11" t="s">
        <v>42</v>
      </c>
      <c r="B11">
        <v>9.8000000000000007</v>
      </c>
      <c r="C11">
        <v>5</v>
      </c>
      <c r="D11">
        <v>2</v>
      </c>
      <c r="E11" t="s">
        <v>25</v>
      </c>
      <c r="F11" s="14">
        <v>20</v>
      </c>
    </row>
  </sheetData>
  <sortState xmlns:xlrd2="http://schemas.microsoft.com/office/spreadsheetml/2017/richdata2" ref="A2:D11">
    <sortCondition ref="C2:C11"/>
    <sortCondition ref="D2:D11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6AB4A-C363-4148-AA80-F3F659AFB420}">
  <dimension ref="A1:J21"/>
  <sheetViews>
    <sheetView topLeftCell="A2" workbookViewId="0">
      <selection activeCell="D14" sqref="D14"/>
    </sheetView>
  </sheetViews>
  <sheetFormatPr defaultRowHeight="15" x14ac:dyDescent="0.25"/>
  <cols>
    <col min="1" max="1" width="26.140625" bestFit="1" customWidth="1"/>
  </cols>
  <sheetData>
    <row r="1" spans="1:10" x14ac:dyDescent="0.25">
      <c r="A1" t="s">
        <v>16</v>
      </c>
      <c r="B1" t="s">
        <v>45</v>
      </c>
      <c r="G1" t="s">
        <v>56</v>
      </c>
      <c r="H1" t="s">
        <v>56</v>
      </c>
      <c r="I1" t="s">
        <v>57</v>
      </c>
      <c r="J1" t="s">
        <v>57</v>
      </c>
    </row>
    <row r="2" spans="1:10" x14ac:dyDescent="0.25">
      <c r="A2" t="s">
        <v>17</v>
      </c>
      <c r="B2" t="s">
        <v>46</v>
      </c>
      <c r="F2" t="s">
        <v>53</v>
      </c>
      <c r="G2" t="s">
        <v>54</v>
      </c>
      <c r="H2" t="s">
        <v>55</v>
      </c>
      <c r="I2" t="s">
        <v>54</v>
      </c>
      <c r="J2" t="s">
        <v>55</v>
      </c>
    </row>
    <row r="3" spans="1:10" x14ac:dyDescent="0.25">
      <c r="A3" t="s">
        <v>18</v>
      </c>
      <c r="B3">
        <v>128</v>
      </c>
      <c r="F3">
        <v>1</v>
      </c>
      <c r="G3">
        <v>14</v>
      </c>
      <c r="H3">
        <v>4</v>
      </c>
      <c r="I3">
        <v>14</v>
      </c>
      <c r="J3">
        <v>4</v>
      </c>
    </row>
    <row r="4" spans="1:10" x14ac:dyDescent="0.25">
      <c r="A4" t="s">
        <v>19</v>
      </c>
      <c r="B4">
        <v>68.7</v>
      </c>
      <c r="F4">
        <v>2</v>
      </c>
      <c r="G4">
        <v>18</v>
      </c>
      <c r="H4">
        <v>5</v>
      </c>
      <c r="I4">
        <v>18</v>
      </c>
      <c r="J4">
        <v>5</v>
      </c>
    </row>
    <row r="5" spans="1:10" x14ac:dyDescent="0.25">
      <c r="A5" t="s">
        <v>21</v>
      </c>
      <c r="B5">
        <v>72</v>
      </c>
      <c r="F5">
        <v>3</v>
      </c>
      <c r="G5">
        <v>10</v>
      </c>
      <c r="H5">
        <v>3</v>
      </c>
      <c r="I5">
        <v>10</v>
      </c>
      <c r="J5">
        <v>3</v>
      </c>
    </row>
    <row r="6" spans="1:10" x14ac:dyDescent="0.25">
      <c r="A6" t="s">
        <v>28</v>
      </c>
      <c r="B6" t="s">
        <v>47</v>
      </c>
      <c r="F6">
        <v>4</v>
      </c>
      <c r="G6">
        <v>4</v>
      </c>
      <c r="H6">
        <v>4</v>
      </c>
      <c r="I6">
        <v>4</v>
      </c>
      <c r="J6">
        <v>4</v>
      </c>
    </row>
    <row r="7" spans="1:10" x14ac:dyDescent="0.25">
      <c r="A7" t="s">
        <v>20</v>
      </c>
      <c r="B7">
        <v>117</v>
      </c>
      <c r="F7">
        <v>5</v>
      </c>
      <c r="G7">
        <v>8</v>
      </c>
      <c r="H7">
        <v>4</v>
      </c>
      <c r="I7">
        <v>8</v>
      </c>
      <c r="J7">
        <v>4</v>
      </c>
    </row>
    <row r="8" spans="1:10" x14ac:dyDescent="0.25">
      <c r="A8" t="s">
        <v>22</v>
      </c>
      <c r="B8">
        <v>67.400000000000006</v>
      </c>
      <c r="F8">
        <v>6</v>
      </c>
      <c r="G8">
        <v>16</v>
      </c>
      <c r="H8">
        <v>5</v>
      </c>
      <c r="I8">
        <v>16</v>
      </c>
      <c r="J8">
        <v>5</v>
      </c>
    </row>
    <row r="9" spans="1:10" x14ac:dyDescent="0.25">
      <c r="A9" t="s">
        <v>23</v>
      </c>
      <c r="B9">
        <v>72</v>
      </c>
      <c r="F9">
        <v>7</v>
      </c>
      <c r="G9">
        <v>12</v>
      </c>
      <c r="H9">
        <v>3</v>
      </c>
      <c r="I9">
        <v>12</v>
      </c>
      <c r="J9">
        <v>3</v>
      </c>
    </row>
    <row r="10" spans="1:10" x14ac:dyDescent="0.25">
      <c r="A10" t="s">
        <v>26</v>
      </c>
      <c r="B10" s="4">
        <v>0.9</v>
      </c>
      <c r="F10">
        <v>8</v>
      </c>
      <c r="G10">
        <v>6</v>
      </c>
      <c r="H10">
        <v>4</v>
      </c>
      <c r="I10">
        <v>6</v>
      </c>
      <c r="J10">
        <v>4</v>
      </c>
    </row>
    <row r="11" spans="1:10" x14ac:dyDescent="0.25">
      <c r="F11">
        <v>9</v>
      </c>
      <c r="G11">
        <v>2</v>
      </c>
      <c r="H11">
        <v>4</v>
      </c>
      <c r="I11">
        <v>2</v>
      </c>
      <c r="J11">
        <v>4</v>
      </c>
    </row>
    <row r="12" spans="1:10" x14ac:dyDescent="0.25">
      <c r="A12" t="s">
        <v>31</v>
      </c>
      <c r="F12">
        <v>10</v>
      </c>
      <c r="G12">
        <v>15</v>
      </c>
      <c r="H12">
        <v>4</v>
      </c>
      <c r="I12">
        <v>15</v>
      </c>
      <c r="J12">
        <v>4</v>
      </c>
    </row>
    <row r="13" spans="1:10" x14ac:dyDescent="0.25">
      <c r="A13" t="s">
        <v>32</v>
      </c>
      <c r="B13" s="14">
        <f>SUM(EntryFees)</f>
        <v>200</v>
      </c>
      <c r="F13">
        <v>11</v>
      </c>
      <c r="G13">
        <v>13</v>
      </c>
      <c r="H13">
        <v>5</v>
      </c>
      <c r="I13">
        <v>13</v>
      </c>
      <c r="J13">
        <v>5</v>
      </c>
    </row>
    <row r="14" spans="1:10" x14ac:dyDescent="0.25">
      <c r="A14" t="s">
        <v>33</v>
      </c>
      <c r="B14" t="s">
        <v>34</v>
      </c>
      <c r="F14">
        <v>12</v>
      </c>
      <c r="G14">
        <v>3</v>
      </c>
      <c r="H14">
        <v>3</v>
      </c>
      <c r="I14">
        <v>3</v>
      </c>
      <c r="J14">
        <v>3</v>
      </c>
    </row>
    <row r="15" spans="1:10" x14ac:dyDescent="0.25">
      <c r="A15">
        <v>1</v>
      </c>
      <c r="B15" s="4">
        <v>0.5</v>
      </c>
      <c r="F15">
        <v>13</v>
      </c>
      <c r="G15">
        <v>7</v>
      </c>
      <c r="H15">
        <v>4</v>
      </c>
      <c r="I15">
        <v>7</v>
      </c>
      <c r="J15">
        <v>4</v>
      </c>
    </row>
    <row r="16" spans="1:10" x14ac:dyDescent="0.25">
      <c r="A16">
        <v>2</v>
      </c>
      <c r="B16" s="4">
        <v>0.3</v>
      </c>
      <c r="F16">
        <v>14</v>
      </c>
      <c r="G16">
        <v>17</v>
      </c>
      <c r="H16">
        <v>5</v>
      </c>
      <c r="I16">
        <v>17</v>
      </c>
      <c r="J16">
        <v>5</v>
      </c>
    </row>
    <row r="17" spans="1:10" x14ac:dyDescent="0.25">
      <c r="A17">
        <v>3</v>
      </c>
      <c r="B17" s="4">
        <v>0.2</v>
      </c>
      <c r="F17">
        <v>15</v>
      </c>
      <c r="G17">
        <v>9</v>
      </c>
      <c r="H17">
        <v>3</v>
      </c>
      <c r="I17">
        <v>9</v>
      </c>
      <c r="J17">
        <v>3</v>
      </c>
    </row>
    <row r="18" spans="1:10" x14ac:dyDescent="0.25">
      <c r="B18" s="4">
        <v>0</v>
      </c>
      <c r="F18">
        <v>16</v>
      </c>
      <c r="G18">
        <v>5</v>
      </c>
      <c r="H18">
        <v>4</v>
      </c>
      <c r="I18">
        <v>5</v>
      </c>
      <c r="J18">
        <v>4</v>
      </c>
    </row>
    <row r="19" spans="1:10" x14ac:dyDescent="0.25">
      <c r="B19" s="4">
        <v>0</v>
      </c>
      <c r="F19">
        <v>17</v>
      </c>
      <c r="G19">
        <v>11</v>
      </c>
      <c r="H19">
        <v>4</v>
      </c>
      <c r="I19">
        <v>11</v>
      </c>
      <c r="J19">
        <v>4</v>
      </c>
    </row>
    <row r="20" spans="1:10" x14ac:dyDescent="0.25">
      <c r="B20" s="4">
        <v>0</v>
      </c>
      <c r="F20">
        <v>18</v>
      </c>
      <c r="G20">
        <v>1</v>
      </c>
      <c r="H20">
        <v>4</v>
      </c>
      <c r="I20">
        <v>1</v>
      </c>
      <c r="J20">
        <v>4</v>
      </c>
    </row>
    <row r="21" spans="1:10" x14ac:dyDescent="0.25">
      <c r="F21" t="s">
        <v>58</v>
      </c>
      <c r="H21">
        <f>SUM(H3:H20)</f>
        <v>72</v>
      </c>
      <c r="J21">
        <f>SUM(J3:J20)</f>
        <v>72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14</vt:i4>
      </vt:variant>
    </vt:vector>
  </HeadingPairs>
  <TitlesOfParts>
    <vt:vector size="17" baseType="lpstr">
      <vt:lpstr>2021 HAF MAST Scoresheet</vt:lpstr>
      <vt:lpstr>Players</vt:lpstr>
      <vt:lpstr>Course &amp; Tourney</vt:lpstr>
      <vt:lpstr>EntryFees</vt:lpstr>
      <vt:lpstr>HoleHandicapF</vt:lpstr>
      <vt:lpstr>HoleHandicapM</vt:lpstr>
      <vt:lpstr>HoleInfo</vt:lpstr>
      <vt:lpstr>HoleParF</vt:lpstr>
      <vt:lpstr>HoleParM</vt:lpstr>
      <vt:lpstr>Kitty</vt:lpstr>
      <vt:lpstr>PlacePayouts</vt:lpstr>
      <vt:lpstr>PlayerGender</vt:lpstr>
      <vt:lpstr>PlayerHandicaps</vt:lpstr>
      <vt:lpstr>PlayerNames</vt:lpstr>
      <vt:lpstr>PlayerPlayerNo</vt:lpstr>
      <vt:lpstr>PlayerTeamNo</vt:lpstr>
      <vt:lpstr>'2021 HAF MAST Scoresheet'!Print_Area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Dad's Gaming PC</cp:lastModifiedBy>
  <cp:lastPrinted>2022-01-04T18:09:56Z</cp:lastPrinted>
  <dcterms:created xsi:type="dcterms:W3CDTF">2020-11-08T06:36:47Z</dcterms:created>
  <dcterms:modified xsi:type="dcterms:W3CDTF">2022-01-04T18:10:54Z</dcterms:modified>
</cp:coreProperties>
</file>